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n Jorge\Base con formato\12 Industria y Energía\excel\"/>
    </mc:Choice>
  </mc:AlternateContent>
  <bookViews>
    <workbookView xWindow="0" yWindow="0" windowWidth="28800" windowHeight="11700"/>
  </bookViews>
  <sheets>
    <sheet name="Cuadro 12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4" i="1" l="1"/>
  <c r="Q84" i="1" s="1"/>
  <c r="J84" i="1"/>
  <c r="G84" i="1"/>
  <c r="N83" i="1"/>
  <c r="Q83" i="1" s="1"/>
  <c r="J83" i="1"/>
  <c r="G83" i="1"/>
  <c r="N82" i="1"/>
  <c r="Q82" i="1" s="1"/>
  <c r="J82" i="1"/>
  <c r="G82" i="1"/>
  <c r="N81" i="1"/>
  <c r="Q81" i="1" s="1"/>
  <c r="J81" i="1"/>
  <c r="G81" i="1"/>
  <c r="N80" i="1"/>
  <c r="Q80" i="1" s="1"/>
  <c r="J80" i="1"/>
  <c r="G80" i="1"/>
  <c r="N79" i="1"/>
  <c r="Q79" i="1" s="1"/>
  <c r="J79" i="1"/>
  <c r="G79" i="1"/>
  <c r="N78" i="1"/>
  <c r="Q78" i="1" s="1"/>
  <c r="J78" i="1"/>
  <c r="G78" i="1"/>
  <c r="N77" i="1"/>
  <c r="Q77" i="1" s="1"/>
  <c r="J77" i="1"/>
  <c r="G77" i="1"/>
  <c r="N76" i="1"/>
  <c r="Q76" i="1" s="1"/>
  <c r="J76" i="1"/>
  <c r="G76" i="1"/>
  <c r="N75" i="1"/>
  <c r="Q75" i="1" s="1"/>
  <c r="J75" i="1"/>
  <c r="G75" i="1"/>
  <c r="N74" i="1"/>
  <c r="Q74" i="1" s="1"/>
  <c r="J74" i="1"/>
  <c r="G74" i="1"/>
  <c r="N73" i="1"/>
  <c r="Q73" i="1" s="1"/>
  <c r="J73" i="1"/>
  <c r="G73" i="1"/>
  <c r="N72" i="1"/>
  <c r="Q72" i="1" s="1"/>
  <c r="J72" i="1"/>
  <c r="G72" i="1"/>
  <c r="N71" i="1"/>
  <c r="Q71" i="1" s="1"/>
  <c r="J71" i="1"/>
  <c r="G71" i="1"/>
  <c r="N70" i="1"/>
  <c r="Q70" i="1" s="1"/>
  <c r="J70" i="1"/>
  <c r="G70" i="1"/>
  <c r="D70" i="1"/>
  <c r="N69" i="1"/>
  <c r="Q69" i="1" s="1"/>
  <c r="J69" i="1"/>
  <c r="G69" i="1"/>
  <c r="N68" i="1"/>
  <c r="Q68" i="1" s="1"/>
  <c r="J68" i="1"/>
  <c r="G68" i="1"/>
  <c r="N67" i="1"/>
  <c r="Q67" i="1" s="1"/>
  <c r="J67" i="1"/>
  <c r="G67" i="1"/>
  <c r="J66" i="1"/>
  <c r="G66" i="1"/>
  <c r="Q66" i="1" s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</calcChain>
</file>

<file path=xl/sharedStrings.xml><?xml version="1.0" encoding="utf-8"?>
<sst xmlns="http://schemas.openxmlformats.org/spreadsheetml/2006/main" count="35" uniqueCount="35">
  <si>
    <t>Cuadro 1209</t>
  </si>
  <si>
    <t>COSTA RICA: ENERGÍA A PRODUCIDA SEGÚN FUENTE DE 1946 A 2018</t>
  </si>
  <si>
    <t>Año</t>
  </si>
  <si>
    <t xml:space="preserve">Combustibles sólidos en Gwh equivalentes </t>
  </si>
  <si>
    <t xml:space="preserve">Combustibles líquidos en Gwh equivalentes </t>
  </si>
  <si>
    <t>Electricidad</t>
  </si>
  <si>
    <t>Energía total</t>
  </si>
  <si>
    <t>Leña</t>
  </si>
  <si>
    <t>Carbón vegetal</t>
  </si>
  <si>
    <t>Bagazo y otros residuos vegetales</t>
  </si>
  <si>
    <t>Carbón mineral</t>
  </si>
  <si>
    <t>Gasolina</t>
  </si>
  <si>
    <t>Diesel</t>
  </si>
  <si>
    <t>Fuel oil</t>
  </si>
  <si>
    <t>Jet-fuel, Aviation gas</t>
  </si>
  <si>
    <t>Kerosene Canfín</t>
  </si>
  <si>
    <t>Gas propano líquido</t>
  </si>
  <si>
    <t>Alcohol</t>
  </si>
  <si>
    <t>No energéticos</t>
  </si>
  <si>
    <t>Gasoleo</t>
  </si>
  <si>
    <t>Notas:</t>
  </si>
  <si>
    <t>1946 a 1962, energía netaconsumida medida en Gwh (miles de Kwh).</t>
  </si>
  <si>
    <t>1948, el total de energía de carbón mineral consignado de 24932 Gwh se consideró un error tipográfico y se ajustó a 932 Gwh.</t>
  </si>
  <si>
    <t>1965 a 1979, energía neta consumida en Tetracalorias.</t>
  </si>
  <si>
    <t>El canfin-kerosene y jet-fuel entre 1980 y 2000 aparcen juntos bajo kerosene-canfin.</t>
  </si>
  <si>
    <t>1980 a 2000, energía neta consumida en Terajulios.</t>
  </si>
  <si>
    <t>Residuos vegetales incluye bagazo, cascarilla de café y arroz, residuos de palma africana.</t>
  </si>
  <si>
    <t>No energéticos se refiere a asfalto más emulsiones.</t>
  </si>
  <si>
    <t>Fuentes:</t>
  </si>
  <si>
    <t>1946-1954, total producido UCR/PDECR, No.1, cuadro anexo 8.</t>
  </si>
  <si>
    <t>1946-1962, energía neta por tipo de energía,  UCR/PDECR, No.6, cuadro II.1, por tipo de consumidor, cuadro V.4.</t>
  </si>
  <si>
    <t>1965-1979, PNUD-Programa Energético del Istmo Centoamericano, serie histórica de balances energéticos 1965-1979, cuadros de consumo neto de energía.</t>
  </si>
  <si>
    <t>1980-1998, UCR-FLACSO, Centroamérica en Cifras 1980-2000, cuadro 2.6.1.</t>
  </si>
  <si>
    <t>1965-1999, Ballestero, Lesmes (2002), Memoria Estadística del Sector Energía de Costa Rica 2000-2001, cuadro 3.23.</t>
  </si>
  <si>
    <t>2000-2018, Secretaria Ejecutiva de Planificación del Subsector Energía, Balances energéticos, 2000-2018.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</si>
</sst>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2" borderId="0" xfId="2" applyFont="1" applyFill="1" applyAlignment="1">
      <alignment horizontal="center" vertical="center"/>
    </xf>
    <xf numFmtId="0" fontId="3" fillId="0" borderId="0" xfId="0" applyFont="1"/>
    <xf numFmtId="0" fontId="2" fillId="2" borderId="0" xfId="2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top" wrapText="1"/>
    </xf>
    <xf numFmtId="164" fontId="4" fillId="2" borderId="0" xfId="1" applyNumberFormat="1" applyFont="1" applyFill="1" applyBorder="1" applyAlignment="1">
      <alignment vertical="top" wrapText="1"/>
    </xf>
    <xf numFmtId="0" fontId="4" fillId="2" borderId="0" xfId="2" applyFont="1" applyFill="1" applyBorder="1" applyAlignment="1">
      <alignment vertical="top" wrapText="1"/>
    </xf>
    <xf numFmtId="0" fontId="4" fillId="2" borderId="0" xfId="2" applyFont="1" applyFill="1" applyBorder="1" applyAlignment="1">
      <alignment horizontal="center"/>
    </xf>
    <xf numFmtId="164" fontId="4" fillId="2" borderId="0" xfId="1" applyNumberFormat="1" applyFont="1" applyFill="1" applyBorder="1"/>
    <xf numFmtId="0" fontId="4" fillId="2" borderId="0" xfId="2" applyFont="1" applyFill="1" applyBorder="1"/>
    <xf numFmtId="0" fontId="4" fillId="2" borderId="3" xfId="2" applyFont="1" applyFill="1" applyBorder="1" applyAlignment="1">
      <alignment horizontal="center" vertical="top" wrapText="1"/>
    </xf>
    <xf numFmtId="164" fontId="4" fillId="2" borderId="3" xfId="1" applyNumberFormat="1" applyFont="1" applyFill="1" applyBorder="1" applyAlignment="1">
      <alignment vertical="top" wrapText="1"/>
    </xf>
    <xf numFmtId="0" fontId="4" fillId="2" borderId="3" xfId="2" applyFont="1" applyFill="1" applyBorder="1" applyAlignment="1">
      <alignment vertical="top" wrapText="1"/>
    </xf>
    <xf numFmtId="0" fontId="2" fillId="2" borderId="0" xfId="2" applyFont="1" applyFill="1" applyAlignment="1">
      <alignment vertical="top" wrapText="1"/>
    </xf>
    <xf numFmtId="0" fontId="4" fillId="2" borderId="0" xfId="2" applyFont="1" applyFill="1" applyAlignment="1">
      <alignment horizontal="justify" vertical="center" wrapText="1"/>
    </xf>
    <xf numFmtId="0" fontId="0" fillId="2" borderId="0" xfId="0" applyFill="1" applyAlignment="1">
      <alignment horizontal="justify" vertical="center" wrapText="1"/>
    </xf>
    <xf numFmtId="0" fontId="4" fillId="2" borderId="0" xfId="2" applyFont="1" applyFill="1"/>
    <xf numFmtId="0" fontId="3" fillId="0" borderId="0" xfId="0" applyFont="1" applyFill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"/>
  <sheetViews>
    <sheetView tabSelected="1" zoomScale="80" zoomScaleNormal="80" workbookViewId="0">
      <pane xSplit="1" ySplit="5" topLeftCell="B65" activePane="bottomRight" state="frozen"/>
      <selection pane="topRight" activeCell="B1" sqref="B1"/>
      <selection pane="bottomLeft" activeCell="A6" sqref="A6"/>
      <selection pane="bottomRight" sqref="A1:Q99"/>
    </sheetView>
  </sheetViews>
  <sheetFormatPr baseColWidth="10" defaultRowHeight="12.75" x14ac:dyDescent="0.2"/>
  <cols>
    <col min="1" max="1" width="9.85546875" style="2" bestFit="1" customWidth="1"/>
    <col min="2" max="2" width="8.5703125" style="2" bestFit="1" customWidth="1"/>
    <col min="3" max="3" width="16" style="2" bestFit="1" customWidth="1"/>
    <col min="4" max="4" width="20.5703125" style="2" bestFit="1" customWidth="1"/>
    <col min="5" max="5" width="16.42578125" style="2" bestFit="1" customWidth="1"/>
    <col min="6" max="6" width="1.42578125" style="25" customWidth="1"/>
    <col min="7" max="7" width="9.5703125" style="2" bestFit="1" customWidth="1"/>
    <col min="8" max="8" width="8.5703125" style="2" bestFit="1" customWidth="1"/>
    <col min="9" max="9" width="8.140625" style="2" bestFit="1" customWidth="1"/>
    <col min="10" max="10" width="17.85546875" style="2" bestFit="1" customWidth="1"/>
    <col min="11" max="11" width="10.7109375" style="2" bestFit="1" customWidth="1"/>
    <col min="12" max="12" width="13.7109375" style="2" bestFit="1" customWidth="1"/>
    <col min="13" max="13" width="8.5703125" style="2" bestFit="1" customWidth="1"/>
    <col min="14" max="14" width="13.140625" style="2" bestFit="1" customWidth="1"/>
    <col min="15" max="15" width="9.28515625" style="2" bestFit="1" customWidth="1"/>
    <col min="16" max="16" width="12.42578125" style="2" bestFit="1" customWidth="1"/>
    <col min="17" max="17" width="13.42578125" style="2" bestFit="1" customWidth="1"/>
    <col min="18" max="16384" width="11.42578125" style="2"/>
  </cols>
  <sheetData>
    <row r="1" spans="1:17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</row>
    <row r="4" spans="1:17" ht="12.75" customHeight="1" x14ac:dyDescent="0.2">
      <c r="A4" s="6" t="s">
        <v>2</v>
      </c>
      <c r="B4" s="7" t="s">
        <v>3</v>
      </c>
      <c r="C4" s="7"/>
      <c r="D4" s="7"/>
      <c r="E4" s="7"/>
      <c r="F4" s="8"/>
      <c r="G4" s="7" t="s">
        <v>4</v>
      </c>
      <c r="H4" s="7"/>
      <c r="I4" s="7"/>
      <c r="J4" s="7"/>
      <c r="K4" s="7"/>
      <c r="L4" s="7"/>
      <c r="M4" s="7"/>
      <c r="N4" s="7"/>
      <c r="O4" s="7"/>
      <c r="P4" s="6" t="s">
        <v>5</v>
      </c>
      <c r="Q4" s="6" t="s">
        <v>6</v>
      </c>
    </row>
    <row r="5" spans="1:17" ht="28.5" customHeight="1" x14ac:dyDescent="0.2">
      <c r="A5" s="9"/>
      <c r="B5" s="10" t="s">
        <v>7</v>
      </c>
      <c r="C5" s="10" t="s">
        <v>8</v>
      </c>
      <c r="D5" s="10" t="s">
        <v>9</v>
      </c>
      <c r="E5" s="10" t="s">
        <v>10</v>
      </c>
      <c r="F5" s="11"/>
      <c r="G5" s="10" t="s">
        <v>11</v>
      </c>
      <c r="H5" s="10" t="s">
        <v>12</v>
      </c>
      <c r="I5" s="10" t="s">
        <v>13</v>
      </c>
      <c r="J5" s="10" t="s">
        <v>14</v>
      </c>
      <c r="K5" s="10" t="s">
        <v>15</v>
      </c>
      <c r="L5" s="10" t="s">
        <v>16</v>
      </c>
      <c r="M5" s="10" t="s">
        <v>17</v>
      </c>
      <c r="N5" s="10" t="s">
        <v>18</v>
      </c>
      <c r="O5" s="10" t="s">
        <v>19</v>
      </c>
      <c r="P5" s="9"/>
      <c r="Q5" s="9"/>
    </row>
    <row r="6" spans="1:17" x14ac:dyDescent="0.2">
      <c r="A6" s="12">
        <v>1940</v>
      </c>
      <c r="B6" s="13"/>
      <c r="C6" s="13"/>
      <c r="D6" s="13"/>
      <c r="E6" s="13"/>
      <c r="F6" s="14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2">
      <c r="A7" s="15">
        <v>1941</v>
      </c>
      <c r="B7" s="16"/>
      <c r="C7" s="16"/>
      <c r="D7" s="16"/>
      <c r="E7" s="16"/>
      <c r="F7" s="17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x14ac:dyDescent="0.2">
      <c r="A8" s="12">
        <v>1942</v>
      </c>
      <c r="B8" s="13"/>
      <c r="C8" s="13"/>
      <c r="D8" s="13"/>
      <c r="E8" s="13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x14ac:dyDescent="0.2">
      <c r="A9" s="15">
        <v>1943</v>
      </c>
      <c r="B9" s="16"/>
      <c r="C9" s="16"/>
      <c r="D9" s="16"/>
      <c r="E9" s="16"/>
      <c r="F9" s="17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x14ac:dyDescent="0.2">
      <c r="A10" s="12">
        <v>1944</v>
      </c>
      <c r="B10" s="13"/>
      <c r="C10" s="13"/>
      <c r="D10" s="13"/>
      <c r="E10" s="13"/>
      <c r="F10" s="14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x14ac:dyDescent="0.2">
      <c r="A11" s="15">
        <v>1945</v>
      </c>
      <c r="B11" s="16"/>
      <c r="C11" s="16"/>
      <c r="D11" s="16"/>
      <c r="E11" s="16"/>
      <c r="F11" s="17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x14ac:dyDescent="0.2">
      <c r="A12" s="12">
        <v>1946</v>
      </c>
      <c r="B12" s="13">
        <v>2253</v>
      </c>
      <c r="C12" s="13">
        <v>106</v>
      </c>
      <c r="D12" s="13">
        <v>311</v>
      </c>
      <c r="E12" s="13">
        <v>735</v>
      </c>
      <c r="F12" s="14"/>
      <c r="G12" s="13">
        <v>217</v>
      </c>
      <c r="H12" s="13">
        <v>187</v>
      </c>
      <c r="I12" s="13">
        <v>365</v>
      </c>
      <c r="J12" s="13"/>
      <c r="K12" s="13">
        <v>26</v>
      </c>
      <c r="L12" s="13">
        <v>0</v>
      </c>
      <c r="M12" s="13"/>
      <c r="N12" s="13"/>
      <c r="O12" s="13"/>
      <c r="P12" s="13">
        <v>95</v>
      </c>
      <c r="Q12" s="13">
        <f>SUM(B12:P12)</f>
        <v>4295</v>
      </c>
    </row>
    <row r="13" spans="1:17" x14ac:dyDescent="0.2">
      <c r="A13" s="15">
        <v>1947</v>
      </c>
      <c r="B13" s="16">
        <v>2285</v>
      </c>
      <c r="C13" s="16">
        <v>101</v>
      </c>
      <c r="D13" s="16">
        <v>434</v>
      </c>
      <c r="E13" s="16">
        <v>1035</v>
      </c>
      <c r="F13" s="17"/>
      <c r="G13" s="16">
        <v>171</v>
      </c>
      <c r="H13" s="16">
        <v>267</v>
      </c>
      <c r="I13" s="16">
        <v>505</v>
      </c>
      <c r="J13" s="16"/>
      <c r="K13" s="16">
        <v>38</v>
      </c>
      <c r="L13" s="16">
        <v>0</v>
      </c>
      <c r="M13" s="16"/>
      <c r="N13" s="16"/>
      <c r="O13" s="16"/>
      <c r="P13" s="16">
        <v>104</v>
      </c>
      <c r="Q13" s="16">
        <f t="shared" ref="Q13:Q28" si="0">SUM(B13:P13)</f>
        <v>4940</v>
      </c>
    </row>
    <row r="14" spans="1:17" x14ac:dyDescent="0.2">
      <c r="A14" s="12">
        <v>1948</v>
      </c>
      <c r="B14" s="13">
        <v>2324</v>
      </c>
      <c r="C14" s="13">
        <v>96</v>
      </c>
      <c r="D14" s="13">
        <v>499</v>
      </c>
      <c r="E14" s="13">
        <v>982</v>
      </c>
      <c r="F14" s="14"/>
      <c r="G14" s="13">
        <v>298</v>
      </c>
      <c r="H14" s="13">
        <v>327</v>
      </c>
      <c r="I14" s="13">
        <v>483</v>
      </c>
      <c r="J14" s="13"/>
      <c r="K14" s="13">
        <v>48</v>
      </c>
      <c r="L14" s="13">
        <v>0</v>
      </c>
      <c r="M14" s="13"/>
      <c r="N14" s="13"/>
      <c r="O14" s="13"/>
      <c r="P14" s="13">
        <v>106</v>
      </c>
      <c r="Q14" s="13">
        <f t="shared" si="0"/>
        <v>5163</v>
      </c>
    </row>
    <row r="15" spans="1:17" x14ac:dyDescent="0.2">
      <c r="A15" s="15">
        <v>1949</v>
      </c>
      <c r="B15" s="16">
        <v>2399</v>
      </c>
      <c r="C15" s="16">
        <v>91</v>
      </c>
      <c r="D15" s="16">
        <v>407</v>
      </c>
      <c r="E15" s="16">
        <v>847</v>
      </c>
      <c r="F15" s="17"/>
      <c r="G15" s="16">
        <v>281</v>
      </c>
      <c r="H15" s="16">
        <v>393</v>
      </c>
      <c r="I15" s="16">
        <v>311</v>
      </c>
      <c r="J15" s="16"/>
      <c r="K15" s="16">
        <v>25</v>
      </c>
      <c r="L15" s="16">
        <v>0</v>
      </c>
      <c r="M15" s="16"/>
      <c r="N15" s="16"/>
      <c r="O15" s="16"/>
      <c r="P15" s="16">
        <v>116</v>
      </c>
      <c r="Q15" s="16">
        <f t="shared" si="0"/>
        <v>4870</v>
      </c>
    </row>
    <row r="16" spans="1:17" x14ac:dyDescent="0.2">
      <c r="A16" s="12">
        <v>1950</v>
      </c>
      <c r="B16" s="13">
        <v>2421</v>
      </c>
      <c r="C16" s="13">
        <v>85</v>
      </c>
      <c r="D16" s="13">
        <v>446</v>
      </c>
      <c r="E16" s="13">
        <v>590</v>
      </c>
      <c r="F16" s="14"/>
      <c r="G16" s="13">
        <v>379</v>
      </c>
      <c r="H16" s="13">
        <v>461</v>
      </c>
      <c r="I16" s="13">
        <v>260</v>
      </c>
      <c r="J16" s="13"/>
      <c r="K16" s="13">
        <v>57</v>
      </c>
      <c r="L16" s="13">
        <v>0</v>
      </c>
      <c r="M16" s="13"/>
      <c r="N16" s="13"/>
      <c r="O16" s="13"/>
      <c r="P16" s="13">
        <v>138</v>
      </c>
      <c r="Q16" s="13">
        <f t="shared" si="0"/>
        <v>4837</v>
      </c>
    </row>
    <row r="17" spans="1:17" x14ac:dyDescent="0.2">
      <c r="A17" s="15">
        <v>1951</v>
      </c>
      <c r="B17" s="16">
        <v>2480</v>
      </c>
      <c r="C17" s="16">
        <v>80</v>
      </c>
      <c r="D17" s="16">
        <v>590</v>
      </c>
      <c r="E17" s="16">
        <v>2324</v>
      </c>
      <c r="F17" s="17"/>
      <c r="G17" s="16">
        <v>367</v>
      </c>
      <c r="H17" s="16">
        <v>376</v>
      </c>
      <c r="I17" s="16">
        <v>388</v>
      </c>
      <c r="J17" s="16"/>
      <c r="K17" s="16">
        <v>62</v>
      </c>
      <c r="L17" s="16">
        <v>0</v>
      </c>
      <c r="M17" s="16"/>
      <c r="N17" s="16"/>
      <c r="O17" s="16"/>
      <c r="P17" s="16">
        <v>149</v>
      </c>
      <c r="Q17" s="16">
        <f t="shared" si="0"/>
        <v>6816</v>
      </c>
    </row>
    <row r="18" spans="1:17" x14ac:dyDescent="0.2">
      <c r="A18" s="12">
        <v>1952</v>
      </c>
      <c r="B18" s="13">
        <v>2598</v>
      </c>
      <c r="C18" s="13">
        <v>75</v>
      </c>
      <c r="D18" s="13">
        <v>656</v>
      </c>
      <c r="E18" s="13">
        <v>1323</v>
      </c>
      <c r="F18" s="14"/>
      <c r="G18" s="13">
        <v>556</v>
      </c>
      <c r="H18" s="13">
        <v>361</v>
      </c>
      <c r="I18" s="13">
        <v>645</v>
      </c>
      <c r="J18" s="13"/>
      <c r="K18" s="13">
        <v>53</v>
      </c>
      <c r="L18" s="13">
        <v>0</v>
      </c>
      <c r="M18" s="13"/>
      <c r="N18" s="13"/>
      <c r="O18" s="13"/>
      <c r="P18" s="13">
        <v>161</v>
      </c>
      <c r="Q18" s="13">
        <f t="shared" si="0"/>
        <v>6428</v>
      </c>
    </row>
    <row r="19" spans="1:17" x14ac:dyDescent="0.2">
      <c r="A19" s="15">
        <v>1953</v>
      </c>
      <c r="B19" s="16">
        <v>2639</v>
      </c>
      <c r="C19" s="16">
        <v>69</v>
      </c>
      <c r="D19" s="16">
        <v>691</v>
      </c>
      <c r="E19" s="16">
        <v>1082</v>
      </c>
      <c r="F19" s="17"/>
      <c r="G19" s="16">
        <v>686</v>
      </c>
      <c r="H19" s="16">
        <v>423</v>
      </c>
      <c r="I19" s="16">
        <v>542</v>
      </c>
      <c r="J19" s="16"/>
      <c r="K19" s="16">
        <v>95</v>
      </c>
      <c r="L19" s="16">
        <v>0</v>
      </c>
      <c r="M19" s="16"/>
      <c r="N19" s="16"/>
      <c r="O19" s="16"/>
      <c r="P19" s="16">
        <v>193</v>
      </c>
      <c r="Q19" s="16">
        <f t="shared" si="0"/>
        <v>6420</v>
      </c>
    </row>
    <row r="20" spans="1:17" x14ac:dyDescent="0.2">
      <c r="A20" s="12">
        <v>1954</v>
      </c>
      <c r="B20" s="13">
        <v>2777</v>
      </c>
      <c r="C20" s="13">
        <v>64</v>
      </c>
      <c r="D20" s="13">
        <v>671</v>
      </c>
      <c r="E20" s="13">
        <v>1194</v>
      </c>
      <c r="F20" s="14"/>
      <c r="G20" s="13">
        <v>566</v>
      </c>
      <c r="H20" s="13">
        <v>407</v>
      </c>
      <c r="I20" s="13">
        <v>589</v>
      </c>
      <c r="J20" s="13"/>
      <c r="K20" s="13">
        <v>60</v>
      </c>
      <c r="L20" s="13">
        <v>3</v>
      </c>
      <c r="M20" s="13"/>
      <c r="N20" s="13"/>
      <c r="O20" s="13"/>
      <c r="P20" s="13">
        <v>208</v>
      </c>
      <c r="Q20" s="13">
        <f t="shared" si="0"/>
        <v>6539</v>
      </c>
    </row>
    <row r="21" spans="1:17" x14ac:dyDescent="0.2">
      <c r="A21" s="15">
        <v>1955</v>
      </c>
      <c r="B21" s="16">
        <v>2880</v>
      </c>
      <c r="C21" s="16">
        <v>59</v>
      </c>
      <c r="D21" s="16">
        <v>492</v>
      </c>
      <c r="E21" s="16">
        <v>1171</v>
      </c>
      <c r="F21" s="17"/>
      <c r="G21" s="16">
        <v>516</v>
      </c>
      <c r="H21" s="16">
        <v>270</v>
      </c>
      <c r="I21" s="16">
        <v>349</v>
      </c>
      <c r="J21" s="16"/>
      <c r="K21" s="16">
        <v>75</v>
      </c>
      <c r="L21" s="16">
        <v>5</v>
      </c>
      <c r="M21" s="16"/>
      <c r="N21" s="16"/>
      <c r="O21" s="16"/>
      <c r="P21" s="16">
        <v>243</v>
      </c>
      <c r="Q21" s="16">
        <f t="shared" si="0"/>
        <v>6060</v>
      </c>
    </row>
    <row r="22" spans="1:17" x14ac:dyDescent="0.2">
      <c r="A22" s="12">
        <v>1956</v>
      </c>
      <c r="B22" s="13">
        <v>3016</v>
      </c>
      <c r="C22" s="13">
        <v>51</v>
      </c>
      <c r="D22" s="13">
        <v>632</v>
      </c>
      <c r="E22" s="13">
        <v>1798</v>
      </c>
      <c r="F22" s="14"/>
      <c r="G22" s="13">
        <v>583</v>
      </c>
      <c r="H22" s="13">
        <v>582</v>
      </c>
      <c r="I22" s="13">
        <v>433</v>
      </c>
      <c r="J22" s="13"/>
      <c r="K22" s="13">
        <v>89</v>
      </c>
      <c r="L22" s="13">
        <v>7</v>
      </c>
      <c r="M22" s="13"/>
      <c r="N22" s="13"/>
      <c r="O22" s="13"/>
      <c r="P22" s="13">
        <v>273</v>
      </c>
      <c r="Q22" s="13">
        <f t="shared" si="0"/>
        <v>7464</v>
      </c>
    </row>
    <row r="23" spans="1:17" x14ac:dyDescent="0.2">
      <c r="A23" s="15">
        <v>1957</v>
      </c>
      <c r="B23" s="16">
        <v>3109</v>
      </c>
      <c r="C23" s="16">
        <v>46</v>
      </c>
      <c r="D23" s="16">
        <v>854</v>
      </c>
      <c r="E23" s="16">
        <v>1109</v>
      </c>
      <c r="F23" s="17"/>
      <c r="G23" s="16">
        <v>687</v>
      </c>
      <c r="H23" s="16">
        <v>601</v>
      </c>
      <c r="I23" s="16">
        <v>44</v>
      </c>
      <c r="J23" s="16"/>
      <c r="K23" s="16">
        <v>102</v>
      </c>
      <c r="L23" s="16">
        <v>9</v>
      </c>
      <c r="M23" s="16"/>
      <c r="N23" s="16"/>
      <c r="O23" s="16"/>
      <c r="P23" s="16">
        <v>298</v>
      </c>
      <c r="Q23" s="16">
        <f t="shared" si="0"/>
        <v>6859</v>
      </c>
    </row>
    <row r="24" spans="1:17" x14ac:dyDescent="0.2">
      <c r="A24" s="12">
        <v>1958</v>
      </c>
      <c r="B24" s="13">
        <v>2217</v>
      </c>
      <c r="C24" s="13">
        <v>41</v>
      </c>
      <c r="D24" s="13">
        <v>1059</v>
      </c>
      <c r="E24" s="13">
        <v>1588</v>
      </c>
      <c r="F24" s="14"/>
      <c r="G24" s="13">
        <v>656</v>
      </c>
      <c r="H24" s="13">
        <v>725</v>
      </c>
      <c r="I24" s="13">
        <v>27</v>
      </c>
      <c r="J24" s="13"/>
      <c r="K24" s="13">
        <v>101</v>
      </c>
      <c r="L24" s="13">
        <v>10</v>
      </c>
      <c r="M24" s="13"/>
      <c r="N24" s="13"/>
      <c r="O24" s="13"/>
      <c r="P24" s="13">
        <v>320</v>
      </c>
      <c r="Q24" s="13">
        <f t="shared" si="0"/>
        <v>6744</v>
      </c>
    </row>
    <row r="25" spans="1:17" x14ac:dyDescent="0.2">
      <c r="A25" s="15">
        <v>1959</v>
      </c>
      <c r="B25" s="16">
        <v>3293</v>
      </c>
      <c r="C25" s="16">
        <v>39</v>
      </c>
      <c r="D25" s="16">
        <v>1007</v>
      </c>
      <c r="E25" s="16">
        <v>1434</v>
      </c>
      <c r="F25" s="17"/>
      <c r="G25" s="16">
        <v>632</v>
      </c>
      <c r="H25" s="16">
        <v>721</v>
      </c>
      <c r="I25" s="16">
        <v>117</v>
      </c>
      <c r="J25" s="16"/>
      <c r="K25" s="16">
        <v>100</v>
      </c>
      <c r="L25" s="16">
        <v>11</v>
      </c>
      <c r="M25" s="16"/>
      <c r="N25" s="16"/>
      <c r="O25" s="16"/>
      <c r="P25" s="16">
        <v>323</v>
      </c>
      <c r="Q25" s="16">
        <f t="shared" si="0"/>
        <v>7677</v>
      </c>
    </row>
    <row r="26" spans="1:17" x14ac:dyDescent="0.2">
      <c r="A26" s="12">
        <v>1960</v>
      </c>
      <c r="B26" s="13">
        <v>3267</v>
      </c>
      <c r="C26" s="13">
        <v>33</v>
      </c>
      <c r="D26" s="13">
        <v>1338</v>
      </c>
      <c r="E26" s="13">
        <v>1246</v>
      </c>
      <c r="F26" s="14"/>
      <c r="G26" s="13">
        <v>741</v>
      </c>
      <c r="H26" s="13">
        <v>692</v>
      </c>
      <c r="I26" s="13">
        <v>255</v>
      </c>
      <c r="J26" s="13"/>
      <c r="K26" s="13">
        <v>175</v>
      </c>
      <c r="L26" s="13">
        <v>12</v>
      </c>
      <c r="M26" s="13"/>
      <c r="N26" s="13"/>
      <c r="O26" s="13"/>
      <c r="P26" s="13">
        <v>368</v>
      </c>
      <c r="Q26" s="13">
        <f t="shared" si="0"/>
        <v>8127</v>
      </c>
    </row>
    <row r="27" spans="1:17" x14ac:dyDescent="0.2">
      <c r="A27" s="15">
        <v>1961</v>
      </c>
      <c r="B27" s="16">
        <v>3421</v>
      </c>
      <c r="C27" s="16">
        <v>28</v>
      </c>
      <c r="D27" s="16">
        <v>1379</v>
      </c>
      <c r="E27" s="16">
        <v>1531</v>
      </c>
      <c r="F27" s="17"/>
      <c r="G27" s="16">
        <v>712</v>
      </c>
      <c r="H27" s="16">
        <v>835</v>
      </c>
      <c r="I27" s="16">
        <v>340</v>
      </c>
      <c r="J27" s="16"/>
      <c r="K27" s="16">
        <v>128</v>
      </c>
      <c r="L27" s="16">
        <v>19</v>
      </c>
      <c r="M27" s="16"/>
      <c r="N27" s="16"/>
      <c r="O27" s="16"/>
      <c r="P27" s="16">
        <v>389</v>
      </c>
      <c r="Q27" s="16">
        <f t="shared" si="0"/>
        <v>8782</v>
      </c>
    </row>
    <row r="28" spans="1:17" x14ac:dyDescent="0.2">
      <c r="A28" s="12">
        <v>1962</v>
      </c>
      <c r="B28" s="13">
        <v>3538</v>
      </c>
      <c r="C28" s="13">
        <v>22</v>
      </c>
      <c r="D28" s="13">
        <v>1636</v>
      </c>
      <c r="E28" s="13">
        <v>659</v>
      </c>
      <c r="F28" s="14"/>
      <c r="G28" s="13">
        <v>753</v>
      </c>
      <c r="H28" s="13">
        <v>1152</v>
      </c>
      <c r="I28" s="13">
        <v>155</v>
      </c>
      <c r="J28" s="13"/>
      <c r="K28" s="13">
        <v>136</v>
      </c>
      <c r="L28" s="13">
        <v>27</v>
      </c>
      <c r="M28" s="13"/>
      <c r="N28" s="13"/>
      <c r="O28" s="13"/>
      <c r="P28" s="13">
        <v>413</v>
      </c>
      <c r="Q28" s="13">
        <f t="shared" si="0"/>
        <v>8491</v>
      </c>
    </row>
    <row r="29" spans="1:17" x14ac:dyDescent="0.2">
      <c r="A29" s="15">
        <v>1963</v>
      </c>
      <c r="B29" s="16"/>
      <c r="C29" s="16"/>
      <c r="D29" s="16"/>
      <c r="E29" s="16"/>
      <c r="F29" s="17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x14ac:dyDescent="0.2">
      <c r="A30" s="12">
        <v>1964</v>
      </c>
      <c r="B30" s="13"/>
      <c r="C30" s="13"/>
      <c r="D30" s="13"/>
      <c r="E30" s="13"/>
      <c r="F30" s="14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x14ac:dyDescent="0.2">
      <c r="A31" s="15">
        <v>1965</v>
      </c>
      <c r="B31" s="16">
        <v>4503</v>
      </c>
      <c r="C31" s="16">
        <v>66</v>
      </c>
      <c r="D31" s="16">
        <v>601</v>
      </c>
      <c r="E31" s="16">
        <v>1</v>
      </c>
      <c r="F31" s="17"/>
      <c r="G31" s="16">
        <v>679</v>
      </c>
      <c r="H31" s="16">
        <v>756</v>
      </c>
      <c r="I31" s="16">
        <v>393</v>
      </c>
      <c r="J31" s="16">
        <v>46</v>
      </c>
      <c r="K31" s="16">
        <v>120</v>
      </c>
      <c r="L31" s="16">
        <v>21</v>
      </c>
      <c r="M31" s="16"/>
      <c r="N31" s="16">
        <v>100</v>
      </c>
      <c r="O31" s="16"/>
      <c r="P31" s="16">
        <v>482</v>
      </c>
      <c r="Q31" s="16">
        <f t="shared" ref="Q31:Q45" si="1">SUM(A31:N31)</f>
        <v>9251</v>
      </c>
    </row>
    <row r="32" spans="1:17" x14ac:dyDescent="0.2">
      <c r="A32" s="12">
        <v>1966</v>
      </c>
      <c r="B32" s="13">
        <v>4524</v>
      </c>
      <c r="C32" s="13">
        <v>67</v>
      </c>
      <c r="D32" s="13">
        <v>758</v>
      </c>
      <c r="E32" s="13">
        <v>2</v>
      </c>
      <c r="F32" s="14"/>
      <c r="G32" s="13">
        <v>691</v>
      </c>
      <c r="H32" s="13">
        <v>817</v>
      </c>
      <c r="I32" s="13">
        <v>439</v>
      </c>
      <c r="J32" s="13">
        <v>46</v>
      </c>
      <c r="K32" s="13">
        <v>123</v>
      </c>
      <c r="L32" s="13">
        <v>27</v>
      </c>
      <c r="M32" s="13"/>
      <c r="N32" s="13">
        <v>75</v>
      </c>
      <c r="O32" s="13"/>
      <c r="P32" s="13">
        <v>519</v>
      </c>
      <c r="Q32" s="13">
        <f t="shared" si="1"/>
        <v>9535</v>
      </c>
    </row>
    <row r="33" spans="1:17" x14ac:dyDescent="0.2">
      <c r="A33" s="15">
        <v>1967</v>
      </c>
      <c r="B33" s="16">
        <v>4553</v>
      </c>
      <c r="C33" s="16">
        <v>68</v>
      </c>
      <c r="D33" s="16">
        <v>752</v>
      </c>
      <c r="E33" s="16">
        <v>1</v>
      </c>
      <c r="F33" s="17"/>
      <c r="G33" s="16">
        <v>743</v>
      </c>
      <c r="H33" s="16">
        <v>927</v>
      </c>
      <c r="I33" s="16">
        <v>521</v>
      </c>
      <c r="J33" s="16">
        <v>52</v>
      </c>
      <c r="K33" s="16">
        <v>155</v>
      </c>
      <c r="L33" s="16">
        <v>34</v>
      </c>
      <c r="M33" s="16"/>
      <c r="N33" s="16">
        <v>102</v>
      </c>
      <c r="O33" s="16"/>
      <c r="P33" s="16">
        <v>570</v>
      </c>
      <c r="Q33" s="16">
        <f t="shared" si="1"/>
        <v>9875</v>
      </c>
    </row>
    <row r="34" spans="1:17" x14ac:dyDescent="0.2">
      <c r="A34" s="12">
        <v>1968</v>
      </c>
      <c r="B34" s="13">
        <v>4548</v>
      </c>
      <c r="C34" s="13">
        <v>70</v>
      </c>
      <c r="D34" s="13">
        <v>800</v>
      </c>
      <c r="E34" s="13">
        <v>2</v>
      </c>
      <c r="F34" s="14"/>
      <c r="G34" s="13">
        <v>797</v>
      </c>
      <c r="H34" s="13">
        <v>1076</v>
      </c>
      <c r="I34" s="13">
        <v>707</v>
      </c>
      <c r="J34" s="13">
        <v>68</v>
      </c>
      <c r="K34" s="13">
        <v>172</v>
      </c>
      <c r="L34" s="13">
        <v>39</v>
      </c>
      <c r="M34" s="13"/>
      <c r="N34" s="13">
        <v>87</v>
      </c>
      <c r="O34" s="13"/>
      <c r="P34" s="13">
        <v>630</v>
      </c>
      <c r="Q34" s="13">
        <f t="shared" si="1"/>
        <v>10334</v>
      </c>
    </row>
    <row r="35" spans="1:17" x14ac:dyDescent="0.2">
      <c r="A35" s="15">
        <v>1969</v>
      </c>
      <c r="B35" s="16">
        <v>4529</v>
      </c>
      <c r="C35" s="16">
        <v>71</v>
      </c>
      <c r="D35" s="16">
        <v>832</v>
      </c>
      <c r="E35" s="16">
        <v>1</v>
      </c>
      <c r="F35" s="17"/>
      <c r="G35" s="16">
        <v>853</v>
      </c>
      <c r="H35" s="16">
        <v>1182</v>
      </c>
      <c r="I35" s="16">
        <v>751</v>
      </c>
      <c r="J35" s="16">
        <v>75</v>
      </c>
      <c r="K35" s="16">
        <v>188</v>
      </c>
      <c r="L35" s="16">
        <v>48</v>
      </c>
      <c r="M35" s="16"/>
      <c r="N35" s="16">
        <v>73</v>
      </c>
      <c r="O35" s="16"/>
      <c r="P35" s="16">
        <v>677</v>
      </c>
      <c r="Q35" s="16">
        <f t="shared" si="1"/>
        <v>10572</v>
      </c>
    </row>
    <row r="36" spans="1:17" x14ac:dyDescent="0.2">
      <c r="A36" s="12">
        <v>1970</v>
      </c>
      <c r="B36" s="13">
        <v>4544</v>
      </c>
      <c r="C36" s="13">
        <v>72</v>
      </c>
      <c r="D36" s="13">
        <v>1023</v>
      </c>
      <c r="E36" s="13">
        <v>2</v>
      </c>
      <c r="F36" s="14"/>
      <c r="G36" s="13">
        <v>984</v>
      </c>
      <c r="H36" s="13">
        <v>1377</v>
      </c>
      <c r="I36" s="13">
        <v>754</v>
      </c>
      <c r="J36" s="13">
        <v>68</v>
      </c>
      <c r="K36" s="13">
        <v>196</v>
      </c>
      <c r="L36" s="13">
        <v>64</v>
      </c>
      <c r="M36" s="13"/>
      <c r="N36" s="13">
        <v>99</v>
      </c>
      <c r="O36" s="13"/>
      <c r="P36" s="13">
        <v>764</v>
      </c>
      <c r="Q36" s="13">
        <f t="shared" si="1"/>
        <v>11153</v>
      </c>
    </row>
    <row r="37" spans="1:17" x14ac:dyDescent="0.2">
      <c r="A37" s="15">
        <v>1971</v>
      </c>
      <c r="B37" s="16">
        <v>4533</v>
      </c>
      <c r="C37" s="16">
        <v>74</v>
      </c>
      <c r="D37" s="16">
        <v>984</v>
      </c>
      <c r="E37" s="16">
        <v>2</v>
      </c>
      <c r="F37" s="17"/>
      <c r="G37" s="16">
        <v>1024</v>
      </c>
      <c r="H37" s="16">
        <v>1654</v>
      </c>
      <c r="I37" s="16">
        <v>891</v>
      </c>
      <c r="J37" s="16">
        <v>68</v>
      </c>
      <c r="K37" s="16">
        <v>213</v>
      </c>
      <c r="L37" s="16">
        <v>79</v>
      </c>
      <c r="M37" s="16"/>
      <c r="N37" s="16">
        <v>168</v>
      </c>
      <c r="O37" s="16"/>
      <c r="P37" s="16">
        <v>858</v>
      </c>
      <c r="Q37" s="16">
        <f t="shared" si="1"/>
        <v>11661</v>
      </c>
    </row>
    <row r="38" spans="1:17" x14ac:dyDescent="0.2">
      <c r="A38" s="12">
        <v>1972</v>
      </c>
      <c r="B38" s="13">
        <v>4550</v>
      </c>
      <c r="C38" s="13">
        <v>75</v>
      </c>
      <c r="D38" s="13">
        <v>1116</v>
      </c>
      <c r="E38" s="13">
        <v>2</v>
      </c>
      <c r="F38" s="14"/>
      <c r="G38" s="13">
        <v>1152</v>
      </c>
      <c r="H38" s="13">
        <v>1849</v>
      </c>
      <c r="I38" s="13">
        <v>873</v>
      </c>
      <c r="J38" s="13">
        <v>55</v>
      </c>
      <c r="K38" s="13">
        <v>215</v>
      </c>
      <c r="L38" s="13">
        <v>93</v>
      </c>
      <c r="M38" s="13"/>
      <c r="N38" s="13">
        <v>336</v>
      </c>
      <c r="O38" s="13"/>
      <c r="P38" s="13">
        <v>947</v>
      </c>
      <c r="Q38" s="13">
        <f t="shared" si="1"/>
        <v>12288</v>
      </c>
    </row>
    <row r="39" spans="1:17" x14ac:dyDescent="0.2">
      <c r="A39" s="15">
        <v>1973</v>
      </c>
      <c r="B39" s="16">
        <v>4528</v>
      </c>
      <c r="C39" s="16">
        <v>77</v>
      </c>
      <c r="D39" s="16">
        <v>1125</v>
      </c>
      <c r="E39" s="16">
        <v>3</v>
      </c>
      <c r="F39" s="17"/>
      <c r="G39" s="16">
        <v>1332</v>
      </c>
      <c r="H39" s="16">
        <v>2028</v>
      </c>
      <c r="I39" s="16">
        <v>1006</v>
      </c>
      <c r="J39" s="16">
        <v>95</v>
      </c>
      <c r="K39" s="16">
        <v>221</v>
      </c>
      <c r="L39" s="16">
        <v>110</v>
      </c>
      <c r="M39" s="16"/>
      <c r="N39" s="16">
        <v>246</v>
      </c>
      <c r="O39" s="16"/>
      <c r="P39" s="16">
        <v>1001</v>
      </c>
      <c r="Q39" s="16">
        <f t="shared" si="1"/>
        <v>12744</v>
      </c>
    </row>
    <row r="40" spans="1:17" x14ac:dyDescent="0.2">
      <c r="A40" s="12">
        <v>1974</v>
      </c>
      <c r="B40" s="13">
        <v>4547</v>
      </c>
      <c r="C40" s="13">
        <v>78</v>
      </c>
      <c r="D40" s="13">
        <v>1068</v>
      </c>
      <c r="E40" s="13">
        <v>2</v>
      </c>
      <c r="F40" s="14"/>
      <c r="G40" s="13">
        <v>1279</v>
      </c>
      <c r="H40" s="13">
        <v>1958</v>
      </c>
      <c r="I40" s="13">
        <v>976</v>
      </c>
      <c r="J40" s="13">
        <v>98</v>
      </c>
      <c r="K40" s="13">
        <v>188</v>
      </c>
      <c r="L40" s="13">
        <v>115</v>
      </c>
      <c r="M40" s="13"/>
      <c r="N40" s="13">
        <v>155</v>
      </c>
      <c r="O40" s="13"/>
      <c r="P40" s="13">
        <v>1090</v>
      </c>
      <c r="Q40" s="13">
        <f t="shared" si="1"/>
        <v>12438</v>
      </c>
    </row>
    <row r="41" spans="1:17" x14ac:dyDescent="0.2">
      <c r="A41" s="15">
        <v>1975</v>
      </c>
      <c r="B41" s="16">
        <v>4537</v>
      </c>
      <c r="C41" s="16">
        <v>80</v>
      </c>
      <c r="D41" s="16">
        <v>1110</v>
      </c>
      <c r="E41" s="16">
        <v>3</v>
      </c>
      <c r="F41" s="17"/>
      <c r="G41" s="16">
        <v>1340</v>
      </c>
      <c r="H41" s="16">
        <v>2242</v>
      </c>
      <c r="I41" s="16">
        <v>1055</v>
      </c>
      <c r="J41" s="16">
        <v>106</v>
      </c>
      <c r="K41" s="16">
        <v>190</v>
      </c>
      <c r="L41" s="16">
        <v>127</v>
      </c>
      <c r="M41" s="16"/>
      <c r="N41" s="16">
        <v>175</v>
      </c>
      <c r="O41" s="16"/>
      <c r="P41" s="16">
        <v>1138</v>
      </c>
      <c r="Q41" s="16">
        <f t="shared" si="1"/>
        <v>12940</v>
      </c>
    </row>
    <row r="42" spans="1:17" x14ac:dyDescent="0.2">
      <c r="A42" s="12">
        <v>1976</v>
      </c>
      <c r="B42" s="13">
        <v>4563</v>
      </c>
      <c r="C42" s="13">
        <v>81</v>
      </c>
      <c r="D42" s="13">
        <v>1134</v>
      </c>
      <c r="E42" s="13">
        <v>3</v>
      </c>
      <c r="F42" s="14"/>
      <c r="G42" s="13">
        <v>1431</v>
      </c>
      <c r="H42" s="13">
        <v>2451</v>
      </c>
      <c r="I42" s="13">
        <v>1055</v>
      </c>
      <c r="J42" s="13">
        <v>133</v>
      </c>
      <c r="K42" s="13">
        <v>214</v>
      </c>
      <c r="L42" s="13">
        <v>142</v>
      </c>
      <c r="M42" s="13"/>
      <c r="N42" s="13">
        <v>158</v>
      </c>
      <c r="O42" s="13"/>
      <c r="P42" s="13">
        <v>1228</v>
      </c>
      <c r="Q42" s="13">
        <f t="shared" si="1"/>
        <v>13341</v>
      </c>
    </row>
    <row r="43" spans="1:17" x14ac:dyDescent="0.2">
      <c r="A43" s="15">
        <v>1977</v>
      </c>
      <c r="B43" s="16">
        <v>4327</v>
      </c>
      <c r="C43" s="16">
        <v>83</v>
      </c>
      <c r="D43" s="16">
        <v>1207</v>
      </c>
      <c r="E43" s="16">
        <v>3</v>
      </c>
      <c r="F43" s="17"/>
      <c r="G43" s="16">
        <v>1502</v>
      </c>
      <c r="H43" s="16">
        <v>2927</v>
      </c>
      <c r="I43" s="16">
        <v>1298</v>
      </c>
      <c r="J43" s="16">
        <v>168</v>
      </c>
      <c r="K43" s="16">
        <v>210</v>
      </c>
      <c r="L43" s="16">
        <v>169</v>
      </c>
      <c r="M43" s="16"/>
      <c r="N43" s="16">
        <v>236</v>
      </c>
      <c r="O43" s="16"/>
      <c r="P43" s="16">
        <v>1312</v>
      </c>
      <c r="Q43" s="16">
        <f t="shared" si="1"/>
        <v>14107</v>
      </c>
    </row>
    <row r="44" spans="1:17" x14ac:dyDescent="0.2">
      <c r="A44" s="12">
        <v>1978</v>
      </c>
      <c r="B44" s="13">
        <v>4346</v>
      </c>
      <c r="C44" s="13">
        <v>85</v>
      </c>
      <c r="D44" s="13">
        <v>1306</v>
      </c>
      <c r="E44" s="13">
        <v>3</v>
      </c>
      <c r="F44" s="14"/>
      <c r="G44" s="13">
        <v>1639</v>
      </c>
      <c r="H44" s="13">
        <v>3205</v>
      </c>
      <c r="I44" s="13">
        <v>1284</v>
      </c>
      <c r="J44" s="13">
        <v>194</v>
      </c>
      <c r="K44" s="13">
        <v>264</v>
      </c>
      <c r="L44" s="13">
        <v>187</v>
      </c>
      <c r="M44" s="13"/>
      <c r="N44" s="13">
        <v>208</v>
      </c>
      <c r="O44" s="13"/>
      <c r="P44" s="13">
        <v>1451</v>
      </c>
      <c r="Q44" s="13">
        <f t="shared" si="1"/>
        <v>14699</v>
      </c>
    </row>
    <row r="45" spans="1:17" x14ac:dyDescent="0.2">
      <c r="A45" s="15">
        <v>1979</v>
      </c>
      <c r="B45" s="16">
        <v>4352</v>
      </c>
      <c r="C45" s="16">
        <v>86</v>
      </c>
      <c r="D45" s="16">
        <v>1359</v>
      </c>
      <c r="E45" s="16">
        <v>3</v>
      </c>
      <c r="F45" s="17"/>
      <c r="G45" s="16">
        <v>1538</v>
      </c>
      <c r="H45" s="16">
        <v>3257</v>
      </c>
      <c r="I45" s="16">
        <v>1488</v>
      </c>
      <c r="J45" s="16">
        <v>220</v>
      </c>
      <c r="K45" s="16">
        <v>248</v>
      </c>
      <c r="L45" s="16">
        <v>229</v>
      </c>
      <c r="M45" s="16"/>
      <c r="N45" s="16">
        <v>181</v>
      </c>
      <c r="O45" s="16"/>
      <c r="P45" s="16">
        <v>1541</v>
      </c>
      <c r="Q45" s="16">
        <f t="shared" si="1"/>
        <v>14940</v>
      </c>
    </row>
    <row r="46" spans="1:17" x14ac:dyDescent="0.2">
      <c r="A46" s="12">
        <v>1980</v>
      </c>
      <c r="B46" s="13">
        <v>18079</v>
      </c>
      <c r="C46" s="13">
        <v>373</v>
      </c>
      <c r="D46" s="13">
        <v>5288</v>
      </c>
      <c r="E46" s="13">
        <v>12</v>
      </c>
      <c r="F46" s="14"/>
      <c r="G46" s="13">
        <v>5811</v>
      </c>
      <c r="H46" s="13">
        <v>14173</v>
      </c>
      <c r="I46" s="13">
        <v>6422</v>
      </c>
      <c r="J46" s="13"/>
      <c r="K46" s="13">
        <v>1813</v>
      </c>
      <c r="L46" s="13">
        <v>1089</v>
      </c>
      <c r="M46" s="13">
        <v>0</v>
      </c>
      <c r="N46" s="13">
        <v>594</v>
      </c>
      <c r="O46" s="13">
        <v>0</v>
      </c>
      <c r="P46" s="13">
        <v>7072</v>
      </c>
      <c r="Q46" s="13">
        <f t="shared" ref="Q46:Q65" si="2">SUM(B46:P46)</f>
        <v>60726</v>
      </c>
    </row>
    <row r="47" spans="1:17" x14ac:dyDescent="0.2">
      <c r="A47" s="15">
        <v>1981</v>
      </c>
      <c r="B47" s="16">
        <v>18078</v>
      </c>
      <c r="C47" s="16">
        <v>381</v>
      </c>
      <c r="D47" s="16">
        <v>5372</v>
      </c>
      <c r="E47" s="16">
        <v>13</v>
      </c>
      <c r="F47" s="17"/>
      <c r="G47" s="16">
        <v>5053</v>
      </c>
      <c r="H47" s="16">
        <v>12694</v>
      </c>
      <c r="I47" s="16">
        <v>7390</v>
      </c>
      <c r="J47" s="16"/>
      <c r="K47" s="16">
        <v>1248</v>
      </c>
      <c r="L47" s="16">
        <v>1047</v>
      </c>
      <c r="M47" s="16">
        <v>33</v>
      </c>
      <c r="N47" s="16">
        <v>653</v>
      </c>
      <c r="O47" s="16">
        <v>8</v>
      </c>
      <c r="P47" s="16">
        <v>7741</v>
      </c>
      <c r="Q47" s="13">
        <f t="shared" si="2"/>
        <v>59711</v>
      </c>
    </row>
    <row r="48" spans="1:17" x14ac:dyDescent="0.2">
      <c r="A48" s="12">
        <v>1982</v>
      </c>
      <c r="B48" s="13">
        <v>18136</v>
      </c>
      <c r="C48" s="13">
        <v>385</v>
      </c>
      <c r="D48" s="13">
        <v>5183</v>
      </c>
      <c r="E48" s="13">
        <v>8</v>
      </c>
      <c r="F48" s="14"/>
      <c r="G48" s="13">
        <v>4878</v>
      </c>
      <c r="H48" s="13">
        <v>10706</v>
      </c>
      <c r="I48" s="13">
        <v>5330</v>
      </c>
      <c r="J48" s="13"/>
      <c r="K48" s="13">
        <v>1131</v>
      </c>
      <c r="L48" s="13">
        <v>703</v>
      </c>
      <c r="M48" s="13">
        <v>29</v>
      </c>
      <c r="N48" s="13">
        <v>469</v>
      </c>
      <c r="O48" s="13">
        <v>12</v>
      </c>
      <c r="P48" s="13">
        <v>7457</v>
      </c>
      <c r="Q48" s="13">
        <f t="shared" si="2"/>
        <v>54427</v>
      </c>
    </row>
    <row r="49" spans="1:17" x14ac:dyDescent="0.2">
      <c r="A49" s="15">
        <v>1983</v>
      </c>
      <c r="B49" s="16">
        <v>18112</v>
      </c>
      <c r="C49" s="16">
        <v>391</v>
      </c>
      <c r="D49" s="16">
        <v>5501</v>
      </c>
      <c r="E49" s="16">
        <v>13</v>
      </c>
      <c r="F49" s="17"/>
      <c r="G49" s="16">
        <v>5049</v>
      </c>
      <c r="H49" s="16">
        <v>11297</v>
      </c>
      <c r="I49" s="16">
        <v>5141</v>
      </c>
      <c r="J49" s="16"/>
      <c r="K49" s="16">
        <v>1203</v>
      </c>
      <c r="L49" s="16">
        <v>628</v>
      </c>
      <c r="M49" s="16">
        <v>13</v>
      </c>
      <c r="N49" s="16">
        <v>618</v>
      </c>
      <c r="O49" s="16">
        <v>50</v>
      </c>
      <c r="P49" s="16">
        <v>7854</v>
      </c>
      <c r="Q49" s="13">
        <f t="shared" si="2"/>
        <v>55870</v>
      </c>
    </row>
    <row r="50" spans="1:17" x14ac:dyDescent="0.2">
      <c r="A50" s="12">
        <v>1984</v>
      </c>
      <c r="B50" s="13">
        <v>18051</v>
      </c>
      <c r="C50" s="13">
        <v>363</v>
      </c>
      <c r="D50" s="13">
        <v>6738</v>
      </c>
      <c r="E50" s="13">
        <v>11</v>
      </c>
      <c r="F50" s="14"/>
      <c r="G50" s="13">
        <v>5577</v>
      </c>
      <c r="H50" s="13">
        <v>11908</v>
      </c>
      <c r="I50" s="13">
        <v>5644</v>
      </c>
      <c r="J50" s="13"/>
      <c r="K50" s="13">
        <v>1195</v>
      </c>
      <c r="L50" s="13">
        <v>676</v>
      </c>
      <c r="M50" s="13">
        <v>15</v>
      </c>
      <c r="N50" s="13">
        <v>951</v>
      </c>
      <c r="O50" s="13">
        <v>38</v>
      </c>
      <c r="P50" s="13">
        <v>8661</v>
      </c>
      <c r="Q50" s="13">
        <f t="shared" si="2"/>
        <v>59828</v>
      </c>
    </row>
    <row r="51" spans="1:17" x14ac:dyDescent="0.2">
      <c r="A51" s="15">
        <v>1985</v>
      </c>
      <c r="B51" s="16">
        <v>17983</v>
      </c>
      <c r="C51" s="16">
        <v>337</v>
      </c>
      <c r="D51" s="16">
        <v>6165</v>
      </c>
      <c r="E51" s="16">
        <v>6</v>
      </c>
      <c r="F51" s="17"/>
      <c r="G51" s="16">
        <v>6095</v>
      </c>
      <c r="H51" s="16">
        <v>12324</v>
      </c>
      <c r="I51" s="16">
        <v>6558</v>
      </c>
      <c r="J51" s="16"/>
      <c r="K51" s="16">
        <v>1145</v>
      </c>
      <c r="L51" s="16">
        <v>726</v>
      </c>
      <c r="M51" s="16">
        <v>10</v>
      </c>
      <c r="N51" s="16">
        <v>963</v>
      </c>
      <c r="O51" s="16">
        <v>66</v>
      </c>
      <c r="P51" s="16">
        <v>9212</v>
      </c>
      <c r="Q51" s="13">
        <f t="shared" si="2"/>
        <v>61590</v>
      </c>
    </row>
    <row r="52" spans="1:17" x14ac:dyDescent="0.2">
      <c r="A52" s="12">
        <v>1986</v>
      </c>
      <c r="B52" s="13">
        <v>17932</v>
      </c>
      <c r="C52" s="13">
        <v>313</v>
      </c>
      <c r="D52" s="13">
        <v>5989</v>
      </c>
      <c r="E52" s="13">
        <v>19</v>
      </c>
      <c r="F52" s="14"/>
      <c r="G52" s="13">
        <v>6847</v>
      </c>
      <c r="H52" s="13">
        <v>13455</v>
      </c>
      <c r="I52" s="13">
        <v>6406</v>
      </c>
      <c r="J52" s="13"/>
      <c r="K52" s="13">
        <v>1461</v>
      </c>
      <c r="L52" s="13">
        <v>768</v>
      </c>
      <c r="M52" s="13">
        <v>3</v>
      </c>
      <c r="N52" s="13">
        <v>908</v>
      </c>
      <c r="O52" s="13">
        <v>38</v>
      </c>
      <c r="P52" s="13">
        <v>9945</v>
      </c>
      <c r="Q52" s="13">
        <f t="shared" si="2"/>
        <v>64084</v>
      </c>
    </row>
    <row r="53" spans="1:17" x14ac:dyDescent="0.2">
      <c r="A53" s="15">
        <v>1987</v>
      </c>
      <c r="B53" s="16">
        <v>17865</v>
      </c>
      <c r="C53" s="16">
        <v>291</v>
      </c>
      <c r="D53" s="16">
        <v>5928</v>
      </c>
      <c r="E53" s="16">
        <v>5</v>
      </c>
      <c r="F53" s="17"/>
      <c r="G53" s="16">
        <v>7615</v>
      </c>
      <c r="H53" s="16">
        <v>14034</v>
      </c>
      <c r="I53" s="16">
        <v>5639</v>
      </c>
      <c r="J53" s="16"/>
      <c r="K53" s="16">
        <v>1678</v>
      </c>
      <c r="L53" s="16">
        <v>823</v>
      </c>
      <c r="M53" s="16">
        <v>0</v>
      </c>
      <c r="N53" s="16">
        <v>603</v>
      </c>
      <c r="O53" s="16">
        <v>118</v>
      </c>
      <c r="P53" s="16">
        <v>10655</v>
      </c>
      <c r="Q53" s="13">
        <f t="shared" si="2"/>
        <v>65254</v>
      </c>
    </row>
    <row r="54" spans="1:17" x14ac:dyDescent="0.2">
      <c r="A54" s="12">
        <v>1988</v>
      </c>
      <c r="B54" s="13">
        <v>17892</v>
      </c>
      <c r="C54" s="13">
        <v>270</v>
      </c>
      <c r="D54" s="13">
        <v>6198</v>
      </c>
      <c r="E54" s="13">
        <v>5</v>
      </c>
      <c r="F54" s="14"/>
      <c r="G54" s="13">
        <v>8205</v>
      </c>
      <c r="H54" s="13">
        <v>14949</v>
      </c>
      <c r="I54" s="13">
        <v>6705</v>
      </c>
      <c r="J54" s="13"/>
      <c r="K54" s="13">
        <v>1786</v>
      </c>
      <c r="L54" s="13">
        <v>949</v>
      </c>
      <c r="M54" s="13">
        <v>0</v>
      </c>
      <c r="N54" s="13">
        <v>460</v>
      </c>
      <c r="O54" s="13">
        <v>88</v>
      </c>
      <c r="P54" s="13">
        <v>10906</v>
      </c>
      <c r="Q54" s="13">
        <f t="shared" si="2"/>
        <v>68413</v>
      </c>
    </row>
    <row r="55" spans="1:17" x14ac:dyDescent="0.2">
      <c r="A55" s="15">
        <v>1989</v>
      </c>
      <c r="B55" s="16">
        <v>17855</v>
      </c>
      <c r="C55" s="16">
        <v>251</v>
      </c>
      <c r="D55" s="16">
        <v>5646</v>
      </c>
      <c r="E55" s="16">
        <v>6</v>
      </c>
      <c r="F55" s="17"/>
      <c r="G55" s="16">
        <v>9661</v>
      </c>
      <c r="H55" s="16">
        <v>15896</v>
      </c>
      <c r="I55" s="16">
        <v>6251</v>
      </c>
      <c r="J55" s="16"/>
      <c r="K55" s="16">
        <v>1898</v>
      </c>
      <c r="L55" s="16">
        <v>1089</v>
      </c>
      <c r="M55" s="16">
        <v>0</v>
      </c>
      <c r="N55" s="16">
        <v>642</v>
      </c>
      <c r="O55" s="16">
        <v>53</v>
      </c>
      <c r="P55" s="16">
        <v>11430</v>
      </c>
      <c r="Q55" s="13">
        <f t="shared" si="2"/>
        <v>70678</v>
      </c>
    </row>
    <row r="56" spans="1:17" x14ac:dyDescent="0.2">
      <c r="A56" s="12">
        <v>1990</v>
      </c>
      <c r="B56" s="13">
        <v>17698</v>
      </c>
      <c r="C56" s="13">
        <v>233</v>
      </c>
      <c r="D56" s="13">
        <v>6207</v>
      </c>
      <c r="E56" s="13">
        <v>10</v>
      </c>
      <c r="F56" s="14"/>
      <c r="G56" s="13">
        <v>10399</v>
      </c>
      <c r="H56" s="13">
        <v>15859</v>
      </c>
      <c r="I56" s="13">
        <v>6521</v>
      </c>
      <c r="J56" s="13"/>
      <c r="K56" s="13">
        <v>2173</v>
      </c>
      <c r="L56" s="13">
        <v>1076</v>
      </c>
      <c r="M56" s="13">
        <v>8</v>
      </c>
      <c r="N56" s="13">
        <v>642</v>
      </c>
      <c r="O56" s="13">
        <v>44</v>
      </c>
      <c r="P56" s="13">
        <v>11977</v>
      </c>
      <c r="Q56" s="13">
        <f t="shared" si="2"/>
        <v>72847</v>
      </c>
    </row>
    <row r="57" spans="1:17" x14ac:dyDescent="0.2">
      <c r="A57" s="15">
        <v>1991</v>
      </c>
      <c r="B57" s="16">
        <v>17630</v>
      </c>
      <c r="C57" s="16">
        <v>216</v>
      </c>
      <c r="D57" s="16">
        <v>6597</v>
      </c>
      <c r="E57" s="16">
        <v>4</v>
      </c>
      <c r="F57" s="17"/>
      <c r="G57" s="16">
        <v>11394</v>
      </c>
      <c r="H57" s="16">
        <v>16556</v>
      </c>
      <c r="I57" s="16">
        <v>6166</v>
      </c>
      <c r="J57" s="16"/>
      <c r="K57" s="16">
        <v>2137</v>
      </c>
      <c r="L57" s="16">
        <v>1193</v>
      </c>
      <c r="M57" s="16">
        <v>8</v>
      </c>
      <c r="N57" s="16">
        <v>1049</v>
      </c>
      <c r="O57" s="16">
        <v>9</v>
      </c>
      <c r="P57" s="16">
        <v>12353</v>
      </c>
      <c r="Q57" s="13">
        <f t="shared" si="2"/>
        <v>75312</v>
      </c>
    </row>
    <row r="58" spans="1:17" x14ac:dyDescent="0.2">
      <c r="A58" s="12">
        <v>1992</v>
      </c>
      <c r="B58" s="13">
        <v>17505</v>
      </c>
      <c r="C58" s="13">
        <v>195</v>
      </c>
      <c r="D58" s="13">
        <v>4086</v>
      </c>
      <c r="E58" s="13">
        <v>6</v>
      </c>
      <c r="F58" s="14"/>
      <c r="G58" s="13">
        <v>14519</v>
      </c>
      <c r="H58" s="13">
        <v>18575</v>
      </c>
      <c r="I58" s="13">
        <v>6824</v>
      </c>
      <c r="J58" s="13"/>
      <c r="K58" s="13">
        <v>2872</v>
      </c>
      <c r="L58" s="13">
        <v>1286</v>
      </c>
      <c r="M58" s="13">
        <v>207</v>
      </c>
      <c r="N58" s="13">
        <v>584</v>
      </c>
      <c r="O58" s="13">
        <v>8</v>
      </c>
      <c r="P58" s="13">
        <v>13191</v>
      </c>
      <c r="Q58" s="13">
        <f t="shared" si="2"/>
        <v>79858</v>
      </c>
    </row>
    <row r="59" spans="1:17" x14ac:dyDescent="0.2">
      <c r="A59" s="15">
        <v>1993</v>
      </c>
      <c r="B59" s="16">
        <v>17125</v>
      </c>
      <c r="C59" s="16">
        <v>147</v>
      </c>
      <c r="D59" s="16">
        <v>4203</v>
      </c>
      <c r="E59" s="16">
        <v>7</v>
      </c>
      <c r="F59" s="17"/>
      <c r="G59" s="16">
        <v>14790</v>
      </c>
      <c r="H59" s="16">
        <v>19711</v>
      </c>
      <c r="I59" s="16">
        <v>7318</v>
      </c>
      <c r="J59" s="16"/>
      <c r="K59" s="16">
        <v>3346</v>
      </c>
      <c r="L59" s="16">
        <v>1370</v>
      </c>
      <c r="M59" s="16">
        <v>75</v>
      </c>
      <c r="N59" s="16">
        <v>749</v>
      </c>
      <c r="O59" s="16">
        <v>1</v>
      </c>
      <c r="P59" s="16">
        <v>14045</v>
      </c>
      <c r="Q59" s="13">
        <f t="shared" si="2"/>
        <v>82887</v>
      </c>
    </row>
    <row r="60" spans="1:17" x14ac:dyDescent="0.2">
      <c r="A60" s="12">
        <v>1994</v>
      </c>
      <c r="B60" s="13">
        <v>16062</v>
      </c>
      <c r="C60" s="13">
        <v>145</v>
      </c>
      <c r="D60" s="13">
        <v>4010</v>
      </c>
      <c r="E60" s="13">
        <v>7</v>
      </c>
      <c r="F60" s="14"/>
      <c r="G60" s="13">
        <v>17061</v>
      </c>
      <c r="H60" s="13">
        <v>21400</v>
      </c>
      <c r="I60" s="13">
        <v>7055</v>
      </c>
      <c r="J60" s="13">
        <v>195</v>
      </c>
      <c r="K60" s="13">
        <v>4252</v>
      </c>
      <c r="L60" s="13">
        <v>1605</v>
      </c>
      <c r="M60" s="13">
        <v>69</v>
      </c>
      <c r="N60" s="13">
        <v>1242</v>
      </c>
      <c r="O60" s="13">
        <v>2</v>
      </c>
      <c r="P60" s="13">
        <v>15204</v>
      </c>
      <c r="Q60" s="13">
        <f t="shared" si="2"/>
        <v>88309</v>
      </c>
    </row>
    <row r="61" spans="1:17" x14ac:dyDescent="0.2">
      <c r="A61" s="15">
        <v>1995</v>
      </c>
      <c r="B61" s="16">
        <v>14232</v>
      </c>
      <c r="C61" s="16">
        <v>148</v>
      </c>
      <c r="D61" s="16">
        <v>4257</v>
      </c>
      <c r="E61" s="16">
        <v>7</v>
      </c>
      <c r="F61" s="17"/>
      <c r="G61" s="16">
        <v>18606</v>
      </c>
      <c r="H61" s="16">
        <v>21799</v>
      </c>
      <c r="I61" s="16">
        <v>7237</v>
      </c>
      <c r="J61" s="16">
        <v>194</v>
      </c>
      <c r="K61" s="16">
        <v>4475</v>
      </c>
      <c r="L61" s="16">
        <v>1860</v>
      </c>
      <c r="M61" s="16">
        <v>133</v>
      </c>
      <c r="N61" s="16">
        <v>1248</v>
      </c>
      <c r="O61" s="16">
        <v>22</v>
      </c>
      <c r="P61" s="16">
        <v>15613</v>
      </c>
      <c r="Q61" s="13">
        <f t="shared" si="2"/>
        <v>89831</v>
      </c>
    </row>
    <row r="62" spans="1:17" x14ac:dyDescent="0.2">
      <c r="A62" s="12">
        <v>1996</v>
      </c>
      <c r="B62" s="13">
        <v>13156</v>
      </c>
      <c r="C62" s="13">
        <v>148</v>
      </c>
      <c r="D62" s="13">
        <v>4602</v>
      </c>
      <c r="E62" s="13">
        <v>8</v>
      </c>
      <c r="F62" s="14"/>
      <c r="G62" s="13">
        <v>19243</v>
      </c>
      <c r="H62" s="13">
        <v>22130</v>
      </c>
      <c r="I62" s="13">
        <v>6737</v>
      </c>
      <c r="J62" s="13">
        <v>175</v>
      </c>
      <c r="K62" s="13">
        <v>4194</v>
      </c>
      <c r="L62" s="13">
        <v>2127</v>
      </c>
      <c r="M62" s="13">
        <v>64</v>
      </c>
      <c r="N62" s="13">
        <v>905</v>
      </c>
      <c r="O62" s="13">
        <v>58</v>
      </c>
      <c r="P62" s="13">
        <v>16024</v>
      </c>
      <c r="Q62" s="13">
        <f t="shared" si="2"/>
        <v>89571</v>
      </c>
    </row>
    <row r="63" spans="1:17" x14ac:dyDescent="0.2">
      <c r="A63" s="15">
        <v>1997</v>
      </c>
      <c r="B63" s="16">
        <v>11853</v>
      </c>
      <c r="C63" s="16">
        <v>154</v>
      </c>
      <c r="D63" s="16">
        <v>4257</v>
      </c>
      <c r="E63" s="16">
        <v>9</v>
      </c>
      <c r="F63" s="17"/>
      <c r="G63" s="16">
        <v>19736</v>
      </c>
      <c r="H63" s="16">
        <v>23107</v>
      </c>
      <c r="I63" s="16">
        <v>7509</v>
      </c>
      <c r="J63" s="16">
        <v>160</v>
      </c>
      <c r="K63" s="16">
        <v>4636</v>
      </c>
      <c r="L63" s="16">
        <v>2840</v>
      </c>
      <c r="M63" s="16">
        <v>75</v>
      </c>
      <c r="N63" s="16">
        <v>966</v>
      </c>
      <c r="O63" s="16">
        <v>93</v>
      </c>
      <c r="P63" s="16">
        <v>16943</v>
      </c>
      <c r="Q63" s="13">
        <f t="shared" si="2"/>
        <v>92338</v>
      </c>
    </row>
    <row r="64" spans="1:17" x14ac:dyDescent="0.2">
      <c r="A64" s="12">
        <v>1998</v>
      </c>
      <c r="B64" s="13">
        <v>10600</v>
      </c>
      <c r="C64" s="13">
        <v>157</v>
      </c>
      <c r="D64" s="13">
        <v>4991</v>
      </c>
      <c r="E64" s="13">
        <v>14</v>
      </c>
      <c r="F64" s="14"/>
      <c r="G64" s="13">
        <v>22256</v>
      </c>
      <c r="H64" s="13">
        <v>24942</v>
      </c>
      <c r="I64" s="13">
        <v>8006</v>
      </c>
      <c r="J64" s="13">
        <v>105</v>
      </c>
      <c r="K64" s="13">
        <v>4371</v>
      </c>
      <c r="L64" s="13">
        <v>2610</v>
      </c>
      <c r="M64" s="13">
        <v>281</v>
      </c>
      <c r="N64" s="13">
        <v>1420</v>
      </c>
      <c r="O64" s="13">
        <v>144</v>
      </c>
      <c r="P64" s="13">
        <v>18305</v>
      </c>
      <c r="Q64" s="13">
        <f t="shared" si="2"/>
        <v>98202</v>
      </c>
    </row>
    <row r="65" spans="1:17" x14ac:dyDescent="0.2">
      <c r="A65" s="15">
        <v>1999</v>
      </c>
      <c r="B65" s="16">
        <v>10200</v>
      </c>
      <c r="C65" s="16">
        <v>160</v>
      </c>
      <c r="D65" s="16">
        <v>5076</v>
      </c>
      <c r="E65" s="16">
        <v>12</v>
      </c>
      <c r="F65" s="17"/>
      <c r="G65" s="16">
        <v>23880</v>
      </c>
      <c r="H65" s="16">
        <v>26084</v>
      </c>
      <c r="I65" s="16">
        <v>8362</v>
      </c>
      <c r="J65" s="16">
        <v>150</v>
      </c>
      <c r="K65" s="16">
        <v>5058</v>
      </c>
      <c r="L65" s="16">
        <v>3115</v>
      </c>
      <c r="M65" s="16">
        <v>246</v>
      </c>
      <c r="N65" s="16">
        <v>2183</v>
      </c>
      <c r="O65" s="16">
        <v>61</v>
      </c>
      <c r="P65" s="16">
        <v>19231</v>
      </c>
      <c r="Q65" s="13">
        <f t="shared" si="2"/>
        <v>103818</v>
      </c>
    </row>
    <row r="66" spans="1:17" x14ac:dyDescent="0.2">
      <c r="A66" s="12">
        <v>2000</v>
      </c>
      <c r="B66" s="13">
        <v>10113</v>
      </c>
      <c r="C66" s="13">
        <v>163</v>
      </c>
      <c r="D66" s="13">
        <v>7568</v>
      </c>
      <c r="E66" s="13">
        <v>15</v>
      </c>
      <c r="F66" s="14"/>
      <c r="G66" s="13">
        <f>14803+10136</f>
        <v>24939</v>
      </c>
      <c r="H66" s="13">
        <v>26539</v>
      </c>
      <c r="I66" s="13">
        <v>8577</v>
      </c>
      <c r="J66" s="13">
        <f>4441+148</f>
        <v>4589</v>
      </c>
      <c r="K66" s="13">
        <v>324</v>
      </c>
      <c r="L66" s="13">
        <v>3496</v>
      </c>
      <c r="M66" s="13">
        <v>407</v>
      </c>
      <c r="N66" s="13">
        <v>2485</v>
      </c>
      <c r="O66" s="13">
        <v>25</v>
      </c>
      <c r="P66" s="13">
        <v>23163</v>
      </c>
      <c r="Q66" s="13">
        <f t="shared" ref="Q66:Q84" si="3">+P66+O66+N66+M66+L66+K66+J66+I66+H66+G66+E66+D66+C66+B66</f>
        <v>112403</v>
      </c>
    </row>
    <row r="67" spans="1:17" s="4" customFormat="1" x14ac:dyDescent="0.2">
      <c r="A67" s="12">
        <v>2001</v>
      </c>
      <c r="B67" s="13">
        <v>10012</v>
      </c>
      <c r="C67" s="13">
        <v>172</v>
      </c>
      <c r="D67" s="13">
        <v>6052</v>
      </c>
      <c r="E67" s="13">
        <v>1292</v>
      </c>
      <c r="F67" s="14"/>
      <c r="G67" s="13">
        <f>15127+10034</f>
        <v>25161</v>
      </c>
      <c r="H67" s="13">
        <v>28370</v>
      </c>
      <c r="I67" s="13">
        <v>9904</v>
      </c>
      <c r="J67" s="13">
        <f>3811+108</f>
        <v>3919</v>
      </c>
      <c r="K67" s="13">
        <v>306</v>
      </c>
      <c r="L67" s="13">
        <v>3586</v>
      </c>
      <c r="M67" s="13">
        <v>361</v>
      </c>
      <c r="N67" s="13">
        <f>1757+304</f>
        <v>2061</v>
      </c>
      <c r="O67" s="13">
        <v>87</v>
      </c>
      <c r="P67" s="13">
        <v>24080</v>
      </c>
      <c r="Q67" s="13">
        <f t="shared" si="3"/>
        <v>115363</v>
      </c>
    </row>
    <row r="68" spans="1:17" x14ac:dyDescent="0.2">
      <c r="A68" s="12">
        <v>2002</v>
      </c>
      <c r="B68" s="13">
        <v>5360</v>
      </c>
      <c r="C68" s="13">
        <v>474</v>
      </c>
      <c r="D68" s="13">
        <v>5763</v>
      </c>
      <c r="E68" s="13">
        <v>21</v>
      </c>
      <c r="F68" s="14"/>
      <c r="G68" s="13">
        <f>848+24653</f>
        <v>25501</v>
      </c>
      <c r="H68" s="13">
        <v>29725</v>
      </c>
      <c r="I68" s="13">
        <v>9912</v>
      </c>
      <c r="J68" s="13">
        <f>136+4914</f>
        <v>5050</v>
      </c>
      <c r="K68" s="13">
        <v>3</v>
      </c>
      <c r="L68" s="13">
        <v>4010</v>
      </c>
      <c r="M68" s="13">
        <v>2116</v>
      </c>
      <c r="N68" s="13">
        <f>304+1256</f>
        <v>1560</v>
      </c>
      <c r="O68" s="13">
        <v>119</v>
      </c>
      <c r="P68" s="13">
        <v>25433</v>
      </c>
      <c r="Q68" s="13">
        <f t="shared" si="3"/>
        <v>115047</v>
      </c>
    </row>
    <row r="69" spans="1:17" x14ac:dyDescent="0.2">
      <c r="A69" s="12">
        <v>2003</v>
      </c>
      <c r="B69" s="13">
        <v>5615</v>
      </c>
      <c r="C69" s="13">
        <v>183</v>
      </c>
      <c r="D69" s="13">
        <v>6941</v>
      </c>
      <c r="E69" s="13">
        <v>931</v>
      </c>
      <c r="F69" s="14"/>
      <c r="G69" s="13">
        <f>17028+4230</f>
        <v>21258</v>
      </c>
      <c r="H69" s="13">
        <v>33070</v>
      </c>
      <c r="I69" s="13">
        <v>10843</v>
      </c>
      <c r="J69" s="13">
        <f>4242+99</f>
        <v>4341</v>
      </c>
      <c r="K69" s="13">
        <v>0</v>
      </c>
      <c r="L69" s="13">
        <v>4105</v>
      </c>
      <c r="M69" s="13">
        <v>813</v>
      </c>
      <c r="N69" s="13">
        <f>271+2381</f>
        <v>2652</v>
      </c>
      <c r="O69" s="13">
        <v>289</v>
      </c>
      <c r="P69" s="13">
        <v>26947</v>
      </c>
      <c r="Q69" s="13">
        <f t="shared" si="3"/>
        <v>117988</v>
      </c>
    </row>
    <row r="70" spans="1:17" x14ac:dyDescent="0.2">
      <c r="A70" s="12">
        <v>2004</v>
      </c>
      <c r="B70" s="13">
        <v>12041</v>
      </c>
      <c r="C70" s="13">
        <v>1</v>
      </c>
      <c r="D70" s="13">
        <f>8469+559+1334</f>
        <v>10362</v>
      </c>
      <c r="E70" s="13">
        <v>39</v>
      </c>
      <c r="F70" s="14"/>
      <c r="G70" s="13">
        <f>15796+11145</f>
        <v>26941</v>
      </c>
      <c r="H70" s="13">
        <v>31496</v>
      </c>
      <c r="I70" s="13">
        <v>5569</v>
      </c>
      <c r="J70" s="13">
        <f>119+407</f>
        <v>526</v>
      </c>
      <c r="K70" s="13">
        <v>8</v>
      </c>
      <c r="L70" s="13">
        <v>4525</v>
      </c>
      <c r="M70" s="13">
        <v>358</v>
      </c>
      <c r="N70" s="13">
        <f>348+2516</f>
        <v>2864</v>
      </c>
      <c r="O70" s="13">
        <v>15</v>
      </c>
      <c r="P70" s="13">
        <v>28096</v>
      </c>
      <c r="Q70" s="13">
        <f t="shared" si="3"/>
        <v>122841</v>
      </c>
    </row>
    <row r="71" spans="1:17" x14ac:dyDescent="0.2">
      <c r="A71" s="12">
        <v>2005</v>
      </c>
      <c r="B71" s="13">
        <v>15347</v>
      </c>
      <c r="C71" s="13">
        <v>40</v>
      </c>
      <c r="D71" s="13">
        <v>11827</v>
      </c>
      <c r="E71" s="13">
        <v>45</v>
      </c>
      <c r="F71" s="14"/>
      <c r="G71" s="13">
        <f>17150+9666</f>
        <v>26816</v>
      </c>
      <c r="H71" s="13">
        <v>34335</v>
      </c>
      <c r="I71" s="13">
        <v>6250</v>
      </c>
      <c r="J71" s="13">
        <f>98+8248</f>
        <v>8346</v>
      </c>
      <c r="K71" s="13">
        <v>82</v>
      </c>
      <c r="L71" s="13">
        <v>4609</v>
      </c>
      <c r="M71" s="13">
        <v>622</v>
      </c>
      <c r="N71" s="13">
        <f>127+990</f>
        <v>1117</v>
      </c>
      <c r="O71" s="13">
        <v>188</v>
      </c>
      <c r="P71" s="13">
        <v>29776</v>
      </c>
      <c r="Q71" s="13">
        <f t="shared" si="3"/>
        <v>139400</v>
      </c>
    </row>
    <row r="72" spans="1:17" x14ac:dyDescent="0.2">
      <c r="A72" s="12">
        <v>2006</v>
      </c>
      <c r="B72" s="13">
        <v>19021</v>
      </c>
      <c r="C72" s="13">
        <v>45</v>
      </c>
      <c r="D72" s="13">
        <v>12157</v>
      </c>
      <c r="E72" s="13">
        <v>59</v>
      </c>
      <c r="F72" s="14"/>
      <c r="G72" s="13">
        <f>18311+8830</f>
        <v>27141</v>
      </c>
      <c r="H72" s="13">
        <v>40033</v>
      </c>
      <c r="I72" s="13">
        <v>7222</v>
      </c>
      <c r="J72" s="13">
        <f>8162+96</f>
        <v>8258</v>
      </c>
      <c r="K72" s="13">
        <v>152</v>
      </c>
      <c r="L72" s="13">
        <v>4729</v>
      </c>
      <c r="M72" s="13">
        <v>51</v>
      </c>
      <c r="N72" s="13">
        <f>182+1171</f>
        <v>1353</v>
      </c>
      <c r="O72" s="13">
        <v>197</v>
      </c>
      <c r="P72" s="13">
        <v>31629</v>
      </c>
      <c r="Q72" s="13">
        <f t="shared" si="3"/>
        <v>152047</v>
      </c>
    </row>
    <row r="73" spans="1:17" x14ac:dyDescent="0.2">
      <c r="A73" s="12">
        <v>2007</v>
      </c>
      <c r="B73" s="13">
        <v>16916</v>
      </c>
      <c r="C73" s="13">
        <v>49</v>
      </c>
      <c r="D73" s="13">
        <v>16817</v>
      </c>
      <c r="E73" s="13">
        <v>632</v>
      </c>
      <c r="F73" s="14"/>
      <c r="G73" s="13">
        <f>19032+9130</f>
        <v>28162</v>
      </c>
      <c r="H73" s="13">
        <v>44602</v>
      </c>
      <c r="I73" s="13">
        <v>7815</v>
      </c>
      <c r="J73" s="13">
        <f>7837+72</f>
        <v>7909</v>
      </c>
      <c r="K73" s="13">
        <v>43</v>
      </c>
      <c r="L73" s="13">
        <v>5141</v>
      </c>
      <c r="M73" s="13">
        <v>4</v>
      </c>
      <c r="N73" s="13">
        <f>183+2080</f>
        <v>2263</v>
      </c>
      <c r="O73" s="13">
        <v>241</v>
      </c>
      <c r="P73" s="13">
        <v>33168</v>
      </c>
      <c r="Q73" s="13">
        <f t="shared" si="3"/>
        <v>163762</v>
      </c>
    </row>
    <row r="74" spans="1:17" x14ac:dyDescent="0.2">
      <c r="A74" s="12">
        <v>2008</v>
      </c>
      <c r="B74" s="13">
        <v>16474</v>
      </c>
      <c r="C74" s="13">
        <v>51</v>
      </c>
      <c r="D74" s="13">
        <v>15780</v>
      </c>
      <c r="E74" s="13">
        <v>17</v>
      </c>
      <c r="F74" s="14"/>
      <c r="G74" s="13">
        <f>18717+10211</f>
        <v>28928</v>
      </c>
      <c r="H74" s="13">
        <v>44727</v>
      </c>
      <c r="I74" s="13">
        <v>6699</v>
      </c>
      <c r="J74" s="13">
        <f>8299+65</f>
        <v>8364</v>
      </c>
      <c r="K74" s="13">
        <v>102</v>
      </c>
      <c r="L74" s="13">
        <v>5029</v>
      </c>
      <c r="M74" s="13">
        <v>119</v>
      </c>
      <c r="N74" s="13">
        <f>150+1922</f>
        <v>2072</v>
      </c>
      <c r="O74" s="13">
        <v>276</v>
      </c>
      <c r="P74" s="13">
        <v>33855</v>
      </c>
      <c r="Q74" s="13">
        <f t="shared" si="3"/>
        <v>162493</v>
      </c>
    </row>
    <row r="75" spans="1:17" x14ac:dyDescent="0.2">
      <c r="A75" s="12">
        <v>2009</v>
      </c>
      <c r="B75" s="13">
        <v>13419</v>
      </c>
      <c r="C75" s="13">
        <v>36</v>
      </c>
      <c r="D75" s="13">
        <v>18001</v>
      </c>
      <c r="E75" s="13">
        <v>110</v>
      </c>
      <c r="F75" s="14"/>
      <c r="G75" s="13">
        <f>19099+11765</f>
        <v>30864</v>
      </c>
      <c r="H75" s="13">
        <v>42694</v>
      </c>
      <c r="I75" s="13">
        <v>5478</v>
      </c>
      <c r="J75" s="13">
        <f>102+7076</f>
        <v>7178</v>
      </c>
      <c r="K75" s="13">
        <v>123</v>
      </c>
      <c r="L75" s="13">
        <v>5046</v>
      </c>
      <c r="M75" s="13">
        <v>176</v>
      </c>
      <c r="N75" s="13">
        <f>193+2532</f>
        <v>2725</v>
      </c>
      <c r="O75" s="13">
        <v>252</v>
      </c>
      <c r="P75" s="13">
        <v>33581</v>
      </c>
      <c r="Q75" s="13">
        <f t="shared" si="3"/>
        <v>159683</v>
      </c>
    </row>
    <row r="76" spans="1:17" x14ac:dyDescent="0.2">
      <c r="A76" s="12">
        <v>2010</v>
      </c>
      <c r="B76" s="13">
        <v>14165</v>
      </c>
      <c r="C76" s="13">
        <v>42</v>
      </c>
      <c r="D76" s="13">
        <v>17208</v>
      </c>
      <c r="E76" s="13">
        <v>30</v>
      </c>
      <c r="F76" s="14"/>
      <c r="G76" s="13">
        <f>19929+12930</f>
        <v>32859</v>
      </c>
      <c r="H76" s="13">
        <v>42173</v>
      </c>
      <c r="I76" s="13">
        <v>6091</v>
      </c>
      <c r="J76" s="13">
        <f>78+7084</f>
        <v>7162</v>
      </c>
      <c r="K76" s="13">
        <v>156</v>
      </c>
      <c r="L76" s="13">
        <v>5342</v>
      </c>
      <c r="M76" s="13">
        <v>123</v>
      </c>
      <c r="N76" s="13">
        <f>135+1386</f>
        <v>1521</v>
      </c>
      <c r="O76" s="13">
        <v>207</v>
      </c>
      <c r="P76" s="13">
        <v>34604</v>
      </c>
      <c r="Q76" s="13">
        <f t="shared" si="3"/>
        <v>161683</v>
      </c>
    </row>
    <row r="77" spans="1:17" x14ac:dyDescent="0.2">
      <c r="A77" s="12">
        <v>2011</v>
      </c>
      <c r="B77" s="13">
        <v>12969</v>
      </c>
      <c r="C77" s="13">
        <v>32</v>
      </c>
      <c r="D77" s="13">
        <v>13578</v>
      </c>
      <c r="E77" s="13">
        <v>229</v>
      </c>
      <c r="F77" s="14"/>
      <c r="G77" s="13">
        <f>18511+12865</f>
        <v>31376</v>
      </c>
      <c r="H77" s="13">
        <v>41455</v>
      </c>
      <c r="I77" s="13">
        <v>6419</v>
      </c>
      <c r="J77" s="13">
        <f>68+7841</f>
        <v>7909</v>
      </c>
      <c r="K77" s="13">
        <v>102</v>
      </c>
      <c r="L77" s="13">
        <v>5578</v>
      </c>
      <c r="M77" s="13">
        <v>100</v>
      </c>
      <c r="N77" s="13">
        <f>157+1461</f>
        <v>1618</v>
      </c>
      <c r="O77" s="13">
        <v>248</v>
      </c>
      <c r="P77" s="13">
        <v>35261</v>
      </c>
      <c r="Q77" s="13">
        <f t="shared" si="3"/>
        <v>156874</v>
      </c>
    </row>
    <row r="78" spans="1:17" x14ac:dyDescent="0.2">
      <c r="A78" s="12">
        <v>2012</v>
      </c>
      <c r="B78" s="13">
        <v>12304</v>
      </c>
      <c r="C78" s="13">
        <v>36</v>
      </c>
      <c r="D78" s="13">
        <v>14250</v>
      </c>
      <c r="E78" s="13">
        <v>92</v>
      </c>
      <c r="F78" s="14"/>
      <c r="G78" s="13">
        <f>18949+14105</f>
        <v>33054</v>
      </c>
      <c r="H78" s="13">
        <v>39001</v>
      </c>
      <c r="I78" s="13">
        <v>10697</v>
      </c>
      <c r="J78" s="13">
        <f>59+7338</f>
        <v>7397</v>
      </c>
      <c r="K78" s="13">
        <v>280</v>
      </c>
      <c r="L78" s="13">
        <v>5703</v>
      </c>
      <c r="M78" s="13">
        <v>73</v>
      </c>
      <c r="N78" s="13">
        <f>183+2006</f>
        <v>2189</v>
      </c>
      <c r="O78" s="13">
        <v>281</v>
      </c>
      <c r="P78" s="13">
        <v>36688</v>
      </c>
      <c r="Q78" s="13">
        <f t="shared" si="3"/>
        <v>162045</v>
      </c>
    </row>
    <row r="79" spans="1:17" x14ac:dyDescent="0.2">
      <c r="A79" s="12">
        <v>2013</v>
      </c>
      <c r="B79" s="13">
        <v>12213</v>
      </c>
      <c r="C79" s="13">
        <v>38</v>
      </c>
      <c r="D79" s="13">
        <v>15803</v>
      </c>
      <c r="E79" s="13">
        <v>204</v>
      </c>
      <c r="F79" s="14"/>
      <c r="G79" s="13">
        <f>19817+14600</f>
        <v>34417</v>
      </c>
      <c r="H79" s="13">
        <v>40257</v>
      </c>
      <c r="I79" s="13">
        <v>12569</v>
      </c>
      <c r="J79" s="13">
        <f>66+6859</f>
        <v>6925</v>
      </c>
      <c r="K79" s="13">
        <v>257</v>
      </c>
      <c r="L79" s="13">
        <v>5996</v>
      </c>
      <c r="M79" s="13">
        <v>58</v>
      </c>
      <c r="N79" s="13">
        <f>166+1978</f>
        <v>2144</v>
      </c>
      <c r="O79" s="13">
        <v>284</v>
      </c>
      <c r="P79" s="13">
        <v>37015</v>
      </c>
      <c r="Q79" s="13">
        <f t="shared" si="3"/>
        <v>168180</v>
      </c>
    </row>
    <row r="80" spans="1:17" x14ac:dyDescent="0.2">
      <c r="A80" s="12">
        <v>2014</v>
      </c>
      <c r="B80" s="13">
        <v>11254</v>
      </c>
      <c r="C80" s="13">
        <v>47</v>
      </c>
      <c r="D80" s="13">
        <v>16298</v>
      </c>
      <c r="E80" s="13">
        <v>248</v>
      </c>
      <c r="F80" s="14"/>
      <c r="G80" s="13">
        <f>19242+15318</f>
        <v>34560</v>
      </c>
      <c r="H80" s="13">
        <v>41796</v>
      </c>
      <c r="I80" s="13">
        <v>11885</v>
      </c>
      <c r="J80" s="13">
        <f>62+7165</f>
        <v>7227</v>
      </c>
      <c r="K80" s="13">
        <v>261</v>
      </c>
      <c r="L80" s="13">
        <v>6354</v>
      </c>
      <c r="M80" s="13">
        <v>91</v>
      </c>
      <c r="N80" s="13">
        <f>177+2147</f>
        <v>2324</v>
      </c>
      <c r="O80" s="13">
        <v>276</v>
      </c>
      <c r="P80" s="13">
        <v>37516</v>
      </c>
      <c r="Q80" s="13">
        <f t="shared" si="3"/>
        <v>170137</v>
      </c>
    </row>
    <row r="81" spans="1:17" x14ac:dyDescent="0.2">
      <c r="A81" s="12">
        <v>2015</v>
      </c>
      <c r="B81" s="13">
        <v>11053</v>
      </c>
      <c r="C81" s="13">
        <v>57</v>
      </c>
      <c r="D81" s="13">
        <v>15548</v>
      </c>
      <c r="E81" s="13">
        <v>14</v>
      </c>
      <c r="F81" s="14"/>
      <c r="G81" s="13">
        <f>20126+17863</f>
        <v>37989</v>
      </c>
      <c r="H81" s="13">
        <v>40457</v>
      </c>
      <c r="I81" s="13">
        <v>5058</v>
      </c>
      <c r="J81" s="13">
        <f>49+7557</f>
        <v>7606</v>
      </c>
      <c r="K81" s="13">
        <v>303</v>
      </c>
      <c r="L81" s="13">
        <v>6764</v>
      </c>
      <c r="M81" s="13">
        <v>68</v>
      </c>
      <c r="N81" s="13">
        <f>217+3036</f>
        <v>3253</v>
      </c>
      <c r="O81" s="13">
        <v>250</v>
      </c>
      <c r="P81" s="13">
        <v>38539</v>
      </c>
      <c r="Q81" s="13">
        <f t="shared" si="3"/>
        <v>166959</v>
      </c>
    </row>
    <row r="82" spans="1:17" x14ac:dyDescent="0.2">
      <c r="A82" s="12">
        <v>2016</v>
      </c>
      <c r="B82" s="13">
        <v>10349</v>
      </c>
      <c r="C82" s="13">
        <v>45</v>
      </c>
      <c r="D82" s="13">
        <v>16834</v>
      </c>
      <c r="E82" s="13">
        <v>14</v>
      </c>
      <c r="F82" s="14"/>
      <c r="G82" s="13">
        <f>19482+20610</f>
        <v>40092</v>
      </c>
      <c r="H82" s="13">
        <v>44091</v>
      </c>
      <c r="I82" s="13">
        <v>6125</v>
      </c>
      <c r="J82" s="13">
        <f>50+8463</f>
        <v>8513</v>
      </c>
      <c r="K82" s="13">
        <v>288</v>
      </c>
      <c r="L82" s="13">
        <v>7423</v>
      </c>
      <c r="M82" s="13">
        <v>70</v>
      </c>
      <c r="N82" s="13">
        <f>251+2634</f>
        <v>2885</v>
      </c>
      <c r="O82" s="13">
        <v>290</v>
      </c>
      <c r="P82" s="13">
        <v>39708</v>
      </c>
      <c r="Q82" s="13">
        <f t="shared" si="3"/>
        <v>176727</v>
      </c>
    </row>
    <row r="83" spans="1:17" x14ac:dyDescent="0.2">
      <c r="A83" s="12">
        <v>2017</v>
      </c>
      <c r="B83" s="13">
        <v>10285</v>
      </c>
      <c r="C83" s="13">
        <v>46</v>
      </c>
      <c r="D83" s="13">
        <v>15503</v>
      </c>
      <c r="E83" s="13">
        <v>214</v>
      </c>
      <c r="F83" s="14"/>
      <c r="G83" s="13">
        <f>21472+22347</f>
        <v>43819</v>
      </c>
      <c r="H83" s="13">
        <v>44453</v>
      </c>
      <c r="I83" s="13">
        <v>4860</v>
      </c>
      <c r="J83" s="13">
        <f>51+8789</f>
        <v>8840</v>
      </c>
      <c r="K83" s="13">
        <v>275</v>
      </c>
      <c r="L83" s="13">
        <v>8043</v>
      </c>
      <c r="M83" s="13">
        <v>70</v>
      </c>
      <c r="N83" s="13">
        <f>297+3510</f>
        <v>3807</v>
      </c>
      <c r="O83" s="13">
        <v>373</v>
      </c>
      <c r="P83" s="13">
        <v>40025</v>
      </c>
      <c r="Q83" s="13">
        <f t="shared" si="3"/>
        <v>180613</v>
      </c>
    </row>
    <row r="84" spans="1:17" x14ac:dyDescent="0.2">
      <c r="A84" s="18">
        <v>2018</v>
      </c>
      <c r="B84" s="19">
        <v>8648</v>
      </c>
      <c r="C84" s="19">
        <v>42</v>
      </c>
      <c r="D84" s="19">
        <v>16144</v>
      </c>
      <c r="E84" s="19">
        <v>14</v>
      </c>
      <c r="F84" s="20"/>
      <c r="G84" s="19">
        <f>20150+21367</f>
        <v>41517</v>
      </c>
      <c r="H84" s="19">
        <v>44914</v>
      </c>
      <c r="I84" s="19">
        <v>6202</v>
      </c>
      <c r="J84" s="19">
        <f>40+9395</f>
        <v>9435</v>
      </c>
      <c r="K84" s="19">
        <v>246</v>
      </c>
      <c r="L84" s="19">
        <v>8160</v>
      </c>
      <c r="M84" s="19">
        <v>73</v>
      </c>
      <c r="N84" s="19">
        <f>338+3809</f>
        <v>4147</v>
      </c>
      <c r="O84" s="19">
        <v>394</v>
      </c>
      <c r="P84" s="19">
        <v>40528</v>
      </c>
      <c r="Q84" s="19">
        <f t="shared" si="3"/>
        <v>180464</v>
      </c>
    </row>
    <row r="85" spans="1:17" ht="12.75" customHeight="1" x14ac:dyDescent="0.2">
      <c r="A85" s="21" t="s">
        <v>20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</row>
    <row r="86" spans="1:17" ht="12.75" customHeight="1" x14ac:dyDescent="0.2">
      <c r="A86" s="22" t="s">
        <v>21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1:17" ht="12.75" customHeight="1" x14ac:dyDescent="0.2">
      <c r="A87" s="22" t="s">
        <v>22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1:17" ht="12.75" customHeight="1" x14ac:dyDescent="0.2">
      <c r="A88" s="22" t="s">
        <v>23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1:17" ht="12.75" customHeight="1" x14ac:dyDescent="0.2">
      <c r="A89" s="22" t="s">
        <v>24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7" ht="12.75" customHeight="1" x14ac:dyDescent="0.2">
      <c r="A90" s="22" t="s">
        <v>25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1:17" ht="12.75" customHeight="1" x14ac:dyDescent="0.2">
      <c r="A91" s="22" t="s">
        <v>26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1:17" ht="12.75" customHeight="1" x14ac:dyDescent="0.2">
      <c r="A92" s="22" t="s">
        <v>27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1:17" ht="12.75" customHeight="1" x14ac:dyDescent="0.2">
      <c r="A93" s="3" t="s">
        <v>28</v>
      </c>
      <c r="B93" s="2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ht="12.75" customHeight="1" x14ac:dyDescent="0.2">
      <c r="A94" s="22" t="s">
        <v>29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1:17" ht="12.75" customHeight="1" x14ac:dyDescent="0.2">
      <c r="A95" s="22" t="s">
        <v>30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1:17" ht="12.75" customHeight="1" x14ac:dyDescent="0.2">
      <c r="A96" s="22" t="s">
        <v>31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1:17" ht="12.75" customHeight="1" x14ac:dyDescent="0.2">
      <c r="A97" s="22" t="s">
        <v>32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1:17" ht="12.75" customHeight="1" x14ac:dyDescent="0.2">
      <c r="A98" s="22" t="s">
        <v>33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1:17" ht="15" x14ac:dyDescent="0.2">
      <c r="A99" s="22" t="s">
        <v>34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</sheetData>
  <mergeCells count="20">
    <mergeCell ref="A99:Q99"/>
    <mergeCell ref="A92:Q92"/>
    <mergeCell ref="A94:Q94"/>
    <mergeCell ref="A95:Q95"/>
    <mergeCell ref="A96:Q96"/>
    <mergeCell ref="A97:Q97"/>
    <mergeCell ref="A98:Q98"/>
    <mergeCell ref="A86:Q86"/>
    <mergeCell ref="A87:Q87"/>
    <mergeCell ref="A88:Q88"/>
    <mergeCell ref="A89:Q89"/>
    <mergeCell ref="A90:Q90"/>
    <mergeCell ref="A91:Q91"/>
    <mergeCell ref="A1:Q1"/>
    <mergeCell ref="A2:Q2"/>
    <mergeCell ref="A4:A5"/>
    <mergeCell ref="B4:E4"/>
    <mergeCell ref="G4:O4"/>
    <mergeCell ref="P4:P5"/>
    <mergeCell ref="Q4:Q5"/>
  </mergeCells>
  <printOptions horizontalCentered="1" verticalCentered="1"/>
  <pageMargins left="0.74803149606299213" right="0.74803149606299213" top="0.98425196850393704" bottom="0.98425196850393704" header="0" footer="0"/>
  <pageSetup scale="4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1209</vt:lpstr>
    </vt:vector>
  </TitlesOfParts>
  <Company>Universidad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UCR</cp:lastModifiedBy>
  <cp:lastPrinted>2020-02-13T14:34:17Z</cp:lastPrinted>
  <dcterms:created xsi:type="dcterms:W3CDTF">2020-02-13T14:33:16Z</dcterms:created>
  <dcterms:modified xsi:type="dcterms:W3CDTF">2020-02-13T14:38:11Z</dcterms:modified>
</cp:coreProperties>
</file>